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updateLinks="always" codeName="Questa_cartella_di_lavoro"/>
  <mc:AlternateContent xmlns:mc="http://schemas.openxmlformats.org/markup-compatibility/2006">
    <mc:Choice Requires="x15">
      <x15ac:absPath xmlns:x15ac="http://schemas.microsoft.com/office/spreadsheetml/2010/11/ac" url="D:\VARIE\SITO INTERNET\MISSIONE LITCHI\PER DOWNLOAD\REV_04\"/>
    </mc:Choice>
  </mc:AlternateContent>
  <xr:revisionPtr revIDLastSave="0" documentId="13_ncr:1_{2DA8CCE0-59D7-44CA-8917-59A5C1CE753C}" xr6:coauthVersionLast="36" xr6:coauthVersionMax="47" xr10:uidLastSave="{00000000-0000-0000-0000-000000000000}"/>
  <workbookProtection workbookAlgorithmName="SHA-512" workbookHashValue="WwZNphqMYNM5KZGVYjQsuAhv4l+AoMTJn5+p2Oc8+ET/oGv0+HZwt1417nI+02p0TTtaCIIWpjzswTdDc1jOzA==" workbookSaltValue="Kq1AtxUauwDDrMWB+TPz5Q==" workbookSpinCount="100000" lockStructure="1"/>
  <bookViews>
    <workbookView xWindow="-105" yWindow="-105" windowWidth="23250" windowHeight="12450" tabRatio="738" xr2:uid="{00000000-000D-0000-FFFF-FFFF00000000}"/>
  </bookViews>
  <sheets>
    <sheet name="AREA DI RILIEVO" sheetId="8" r:id="rId1"/>
    <sheet name="DATI CAMERA E ROTTA" sheetId="5" r:id="rId2"/>
    <sheet name="CALCOLO ROTTA 1" sheetId="6" state="veryHidden" r:id="rId3"/>
    <sheet name="CALCOLO ROTTA 2" sheetId="13" state="veryHidden" r:id="rId4"/>
    <sheet name="ROTTE" sheetId="1" state="veryHidden" r:id="rId5"/>
    <sheet name="ROTTA" sheetId="15" r:id="rId6"/>
    <sheet name="RIFERIMENTI" sheetId="10" r:id="rId7"/>
  </sheets>
  <calcPr calcId="191029"/>
</workbook>
</file>

<file path=xl/calcChain.xml><?xml version="1.0" encoding="utf-8"?>
<calcChain xmlns="http://schemas.openxmlformats.org/spreadsheetml/2006/main">
  <c r="A6" i="5" l="1"/>
  <c r="A5" i="5"/>
  <c r="I52" i="6"/>
  <c r="H52" i="6"/>
  <c r="F52" i="6"/>
  <c r="D52" i="6"/>
  <c r="C52" i="6"/>
  <c r="L25" i="6" l="1"/>
  <c r="M25" i="6" s="1"/>
  <c r="I25" i="6" s="1"/>
  <c r="F25" i="6"/>
  <c r="O15" i="6"/>
  <c r="K15" i="6" s="1"/>
  <c r="J15" i="6"/>
  <c r="F15" i="6"/>
  <c r="N5" i="6"/>
  <c r="N6" i="6" s="1"/>
  <c r="O5" i="6"/>
  <c r="O6" i="6" s="1"/>
  <c r="N7" i="6"/>
  <c r="O7" i="6"/>
  <c r="N10" i="6"/>
  <c r="O10" i="6"/>
  <c r="N11" i="6"/>
  <c r="N12" i="6" s="1"/>
  <c r="O11" i="6"/>
  <c r="O12" i="6" s="1"/>
  <c r="N13" i="6"/>
  <c r="N14" i="6" s="1"/>
  <c r="O13" i="6"/>
  <c r="O14" i="6" s="1"/>
  <c r="N16" i="6"/>
  <c r="N17" i="6" s="1"/>
  <c r="O16" i="6"/>
  <c r="O17" i="6" s="1"/>
  <c r="N18" i="6"/>
  <c r="N19" i="6" s="1"/>
  <c r="O18" i="6"/>
  <c r="O19" i="6" s="1"/>
  <c r="N20" i="6"/>
  <c r="N21" i="6" s="1"/>
  <c r="O20" i="6"/>
  <c r="O21" i="6" s="1"/>
  <c r="N23" i="6"/>
  <c r="N24" i="6" s="1"/>
  <c r="N25" i="6" s="1"/>
  <c r="O23" i="6"/>
  <c r="O24" i="6" s="1"/>
  <c r="O25" i="6" s="1"/>
  <c r="N26" i="6"/>
  <c r="N27" i="6" s="1"/>
  <c r="O26" i="6"/>
  <c r="O27" i="6" s="1"/>
  <c r="N28" i="6"/>
  <c r="O28" i="6"/>
  <c r="N29" i="6"/>
  <c r="O29" i="6"/>
  <c r="N30" i="6"/>
  <c r="N31" i="6" s="1"/>
  <c r="O30" i="6"/>
  <c r="O31" i="6" s="1"/>
  <c r="N32" i="6"/>
  <c r="O32" i="6"/>
  <c r="N33" i="6"/>
  <c r="O33" i="6"/>
  <c r="N34" i="6"/>
  <c r="O34" i="6"/>
  <c r="N35" i="6"/>
  <c r="N36" i="6" s="1"/>
  <c r="O35" i="6"/>
  <c r="O36" i="6" s="1"/>
  <c r="N37" i="6"/>
  <c r="N38" i="6" s="1"/>
  <c r="O37" i="6"/>
  <c r="O38" i="6" s="1"/>
  <c r="N39" i="6"/>
  <c r="N40" i="6" s="1"/>
  <c r="O39" i="6"/>
  <c r="O40" i="6" s="1"/>
  <c r="N41" i="6"/>
  <c r="N42" i="6" s="1"/>
  <c r="O41" i="6"/>
  <c r="O42" i="6" s="1"/>
  <c r="N44" i="6"/>
  <c r="N45" i="6" s="1"/>
  <c r="O44" i="6"/>
  <c r="O45" i="6" s="1"/>
  <c r="N46" i="6"/>
  <c r="N48" i="6" s="1"/>
  <c r="O46" i="6"/>
  <c r="O48" i="6" s="1"/>
  <c r="O3" i="6"/>
  <c r="O4" i="6" s="1"/>
  <c r="N3" i="6"/>
  <c r="N4" i="6" s="1"/>
  <c r="O8" i="6" l="1"/>
  <c r="L52" i="6"/>
  <c r="N9" i="6"/>
  <c r="K52" i="6"/>
  <c r="L15" i="6"/>
  <c r="M15" i="6" s="1"/>
  <c r="I15" i="6" s="1"/>
  <c r="N22" i="6"/>
  <c r="N43" i="6"/>
  <c r="O22" i="6"/>
  <c r="O43" i="6"/>
  <c r="N8" i="6"/>
  <c r="O9" i="6"/>
  <c r="N47" i="6"/>
  <c r="O47" i="6"/>
  <c r="L32" i="6"/>
  <c r="I32" i="6"/>
  <c r="L33" i="6"/>
  <c r="L34" i="6"/>
  <c r="I33" i="6"/>
  <c r="I34" i="6"/>
  <c r="F32" i="6"/>
  <c r="F33" i="6"/>
  <c r="F34" i="6"/>
  <c r="L28" i="6"/>
  <c r="M28" i="6" s="1"/>
  <c r="I28" i="6" s="1"/>
  <c r="L29" i="6"/>
  <c r="M29" i="6" s="1"/>
  <c r="I29" i="6" s="1"/>
  <c r="F28" i="6"/>
  <c r="F29" i="6"/>
  <c r="F30" i="6"/>
  <c r="F31" i="6"/>
  <c r="L30" i="6"/>
  <c r="M30" i="6" s="1"/>
  <c r="I30" i="6" s="1"/>
  <c r="L31" i="6"/>
  <c r="M31" i="6" s="1"/>
  <c r="I31" i="6" s="1"/>
  <c r="L16" i="6"/>
  <c r="M16" i="6" s="1"/>
  <c r="I16" i="6" s="1"/>
  <c r="L17" i="6"/>
  <c r="M17" i="6" s="1"/>
  <c r="I17" i="6" s="1"/>
  <c r="F16" i="6"/>
  <c r="F17" i="6"/>
  <c r="L13" i="6"/>
  <c r="M13" i="6" s="1"/>
  <c r="I13" i="6" s="1"/>
  <c r="L14" i="6"/>
  <c r="M14" i="6" s="1"/>
  <c r="I14" i="6" s="1"/>
  <c r="F14" i="6"/>
  <c r="F13" i="6"/>
  <c r="B2" i="1" l="1"/>
  <c r="J8" i="1" s="1"/>
  <c r="J7" i="1" l="1"/>
  <c r="F29" i="1"/>
  <c r="E29" i="1"/>
  <c r="AN6" i="15" l="1"/>
  <c r="AM6" i="15"/>
  <c r="I6" i="15"/>
  <c r="C6" i="15"/>
  <c r="AN5" i="15"/>
  <c r="AM5" i="15"/>
  <c r="I5" i="15"/>
  <c r="C5" i="15"/>
  <c r="AN4" i="15"/>
  <c r="AM4" i="15"/>
  <c r="I4" i="15"/>
  <c r="C4" i="15"/>
  <c r="AN3" i="15"/>
  <c r="AM3" i="15"/>
  <c r="K3" i="15"/>
  <c r="J3" i="15"/>
  <c r="C3" i="15"/>
  <c r="AN2" i="15"/>
  <c r="AM2" i="15"/>
  <c r="C2" i="15"/>
  <c r="B3" i="13"/>
  <c r="B4" i="13"/>
  <c r="B1" i="13"/>
  <c r="A82" i="13"/>
  <c r="A84" i="13" s="1"/>
  <c r="B64" i="13"/>
  <c r="B28" i="13"/>
  <c r="B30" i="13" s="1"/>
  <c r="A14" i="13"/>
  <c r="A13" i="13"/>
  <c r="B13" i="13" s="1"/>
  <c r="A12" i="13"/>
  <c r="B12" i="13" s="1"/>
  <c r="A11" i="13"/>
  <c r="A10" i="13"/>
  <c r="D11" i="13" l="1"/>
  <c r="T20" i="13" s="1"/>
  <c r="V20" i="13" s="1"/>
  <c r="B11" i="13"/>
  <c r="E11" i="13" s="1"/>
  <c r="D12" i="13"/>
  <c r="E12" i="13"/>
  <c r="E13" i="13"/>
  <c r="D13" i="13"/>
  <c r="D14" i="13"/>
  <c r="B14" i="13"/>
  <c r="E14" i="13" s="1"/>
  <c r="A86" i="13"/>
  <c r="A85" i="13"/>
  <c r="D10" i="13"/>
  <c r="B10" i="13"/>
  <c r="E10" i="13" s="1"/>
  <c r="A83" i="13"/>
  <c r="H38" i="6"/>
  <c r="H39" i="6"/>
  <c r="H40" i="6"/>
  <c r="H37" i="6"/>
  <c r="H24" i="6"/>
  <c r="H23" i="6"/>
  <c r="I45" i="6"/>
  <c r="I46" i="6"/>
  <c r="I47" i="6"/>
  <c r="I48" i="6"/>
  <c r="I44" i="6"/>
  <c r="I40" i="6"/>
  <c r="I39" i="6"/>
  <c r="I22" i="13" l="1"/>
  <c r="K22" i="13" s="1"/>
  <c r="N21" i="13"/>
  <c r="Q21" i="13" s="1"/>
  <c r="I14" i="13"/>
  <c r="K14" i="13" s="1"/>
  <c r="D23" i="13"/>
  <c r="F23" i="13" s="1"/>
  <c r="N13" i="13"/>
  <c r="Q13" i="13" s="1"/>
  <c r="F11" i="13"/>
  <c r="T12" i="13"/>
  <c r="V12" i="13" s="1"/>
  <c r="O21" i="13"/>
  <c r="R21" i="13" s="1"/>
  <c r="U20" i="13"/>
  <c r="W20" i="13" s="1"/>
  <c r="U12" i="13"/>
  <c r="W12" i="13" s="1"/>
  <c r="E23" i="13"/>
  <c r="G23" i="13" s="1"/>
  <c r="J14" i="13"/>
  <c r="O13" i="13"/>
  <c r="R13" i="13" s="1"/>
  <c r="J22" i="13"/>
  <c r="L22" i="13" s="1"/>
  <c r="G11" i="13"/>
  <c r="G14" i="13"/>
  <c r="J13" i="13"/>
  <c r="O22" i="13"/>
  <c r="R22" i="13" s="1"/>
  <c r="E20" i="13"/>
  <c r="G20" i="13" s="1"/>
  <c r="U11" i="13"/>
  <c r="W11" i="13" s="1"/>
  <c r="J23" i="13"/>
  <c r="L23" i="13" s="1"/>
  <c r="O12" i="13"/>
  <c r="R12" i="13" s="1"/>
  <c r="U21" i="13"/>
  <c r="W21" i="13" s="1"/>
  <c r="I23" i="13"/>
  <c r="K23" i="13" s="1"/>
  <c r="N22" i="13"/>
  <c r="Q22" i="13" s="1"/>
  <c r="D20" i="13"/>
  <c r="F20" i="13" s="1"/>
  <c r="F14" i="13"/>
  <c r="I13" i="13"/>
  <c r="N12" i="13"/>
  <c r="Q12" i="13" s="1"/>
  <c r="T11" i="13"/>
  <c r="V11" i="13" s="1"/>
  <c r="T21" i="13"/>
  <c r="V21" i="13" s="1"/>
  <c r="A88" i="13"/>
  <c r="A87" i="13"/>
  <c r="T22" i="13"/>
  <c r="V22" i="13" s="1"/>
  <c r="N23" i="13"/>
  <c r="Q23" i="13" s="1"/>
  <c r="D21" i="13"/>
  <c r="F21" i="13" s="1"/>
  <c r="F13" i="13"/>
  <c r="I12" i="13"/>
  <c r="I20" i="13"/>
  <c r="K20" i="13" s="1"/>
  <c r="T14" i="13"/>
  <c r="V14" i="13" s="1"/>
  <c r="N11" i="13"/>
  <c r="Q11" i="13" s="1"/>
  <c r="G10" i="13"/>
  <c r="O19" i="13"/>
  <c r="R19" i="13" s="1"/>
  <c r="E19" i="13"/>
  <c r="G19" i="13" s="1"/>
  <c r="O10" i="13"/>
  <c r="R10" i="13" s="1"/>
  <c r="U19" i="13"/>
  <c r="W19" i="13" s="1"/>
  <c r="J10" i="13"/>
  <c r="J19" i="13"/>
  <c r="L19" i="13" s="1"/>
  <c r="U10" i="13"/>
  <c r="W10" i="13" s="1"/>
  <c r="N19" i="13"/>
  <c r="Q19" i="13" s="1"/>
  <c r="D19" i="13"/>
  <c r="F19" i="13" s="1"/>
  <c r="N10" i="13"/>
  <c r="Q10" i="13" s="1"/>
  <c r="I19" i="13"/>
  <c r="K19" i="13" s="1"/>
  <c r="T10" i="13"/>
  <c r="V10" i="13" s="1"/>
  <c r="T19" i="13"/>
  <c r="V19" i="13" s="1"/>
  <c r="I10" i="13"/>
  <c r="F10" i="13"/>
  <c r="U13" i="13"/>
  <c r="W13" i="13" s="1"/>
  <c r="E22" i="13"/>
  <c r="G22" i="13" s="1"/>
  <c r="O20" i="13"/>
  <c r="R20" i="13" s="1"/>
  <c r="O14" i="13"/>
  <c r="R14" i="13" s="1"/>
  <c r="G12" i="13"/>
  <c r="J11" i="13"/>
  <c r="U23" i="13"/>
  <c r="W23" i="13" s="1"/>
  <c r="J21" i="13"/>
  <c r="L21" i="13" s="1"/>
  <c r="O11" i="13"/>
  <c r="R11" i="13" s="1"/>
  <c r="O23" i="13"/>
  <c r="R23" i="13" s="1"/>
  <c r="E21" i="13"/>
  <c r="G21" i="13" s="1"/>
  <c r="U14" i="13"/>
  <c r="W14" i="13" s="1"/>
  <c r="G13" i="13"/>
  <c r="U22" i="13"/>
  <c r="W22" i="13" s="1"/>
  <c r="J12" i="13"/>
  <c r="J20" i="13"/>
  <c r="L20" i="13" s="1"/>
  <c r="T23" i="13"/>
  <c r="V23" i="13" s="1"/>
  <c r="D22" i="13"/>
  <c r="F22" i="13" s="1"/>
  <c r="N20" i="13"/>
  <c r="Q20" i="13" s="1"/>
  <c r="N14" i="13"/>
  <c r="Q14" i="13" s="1"/>
  <c r="I21" i="13"/>
  <c r="K21" i="13" s="1"/>
  <c r="I11" i="13"/>
  <c r="T13" i="13"/>
  <c r="V13" i="13" s="1"/>
  <c r="F12" i="13"/>
  <c r="L12" i="6"/>
  <c r="M12" i="6" s="1"/>
  <c r="I12" i="6" s="1"/>
  <c r="F12" i="6"/>
  <c r="L11" i="6"/>
  <c r="M11" i="6" s="1"/>
  <c r="I11" i="6" s="1"/>
  <c r="F11" i="6"/>
  <c r="L14" i="13" l="1"/>
  <c r="L11" i="13"/>
  <c r="A90" i="13"/>
  <c r="A89" i="13"/>
  <c r="L10" i="13"/>
  <c r="K11" i="13"/>
  <c r="K12" i="13"/>
  <c r="L13" i="13"/>
  <c r="L12" i="13"/>
  <c r="K10" i="13"/>
  <c r="K13" i="13"/>
  <c r="B80" i="5"/>
  <c r="A91" i="13" l="1"/>
  <c r="A92" i="13"/>
  <c r="B4" i="10"/>
  <c r="A93" i="13" l="1"/>
  <c r="A94" i="13"/>
  <c r="B37" i="5"/>
  <c r="A95" i="13" l="1"/>
  <c r="A96" i="13"/>
  <c r="F27" i="6"/>
  <c r="F35" i="6"/>
  <c r="F36" i="6"/>
  <c r="F26" i="6"/>
  <c r="F4" i="6"/>
  <c r="F5" i="6"/>
  <c r="F6" i="6"/>
  <c r="F7" i="6"/>
  <c r="F8" i="6"/>
  <c r="F9" i="6"/>
  <c r="F10" i="6"/>
  <c r="F18" i="6"/>
  <c r="F19" i="6"/>
  <c r="F20" i="6"/>
  <c r="F21" i="6"/>
  <c r="F22" i="6"/>
  <c r="F3" i="6"/>
  <c r="A98" i="13" l="1"/>
  <c r="A97" i="13"/>
  <c r="A100" i="13" l="1"/>
  <c r="A99" i="13"/>
  <c r="L48" i="6"/>
  <c r="M48" i="6" s="1"/>
  <c r="H48" i="6" s="1"/>
  <c r="L22" i="6"/>
  <c r="M22" i="6" s="1"/>
  <c r="I22" i="6" s="1"/>
  <c r="A102" i="13" l="1"/>
  <c r="A101" i="13"/>
  <c r="B79" i="5"/>
  <c r="A104" i="13" l="1"/>
  <c r="A103" i="13"/>
  <c r="B60" i="6"/>
  <c r="B59" i="6"/>
  <c r="L47" i="6"/>
  <c r="M47" i="6" s="1"/>
  <c r="H47" i="6" s="1"/>
  <c r="L46" i="6"/>
  <c r="M46" i="6" s="1"/>
  <c r="H46" i="6" s="1"/>
  <c r="L45" i="6"/>
  <c r="M45" i="6" s="1"/>
  <c r="H45" i="6" s="1"/>
  <c r="L44" i="6"/>
  <c r="M44" i="6" s="1"/>
  <c r="H44" i="6" s="1"/>
  <c r="L43" i="6"/>
  <c r="M43" i="6" s="1"/>
  <c r="I43" i="6" s="1"/>
  <c r="L42" i="6"/>
  <c r="M42" i="6" s="1"/>
  <c r="I42" i="6" s="1"/>
  <c r="L41" i="6"/>
  <c r="M41" i="6" s="1"/>
  <c r="I41" i="6" s="1"/>
  <c r="L40" i="6"/>
  <c r="M40" i="6" s="1"/>
  <c r="L39" i="6"/>
  <c r="M39" i="6" s="1"/>
  <c r="L38" i="6"/>
  <c r="M38" i="6" s="1"/>
  <c r="I38" i="6" s="1"/>
  <c r="L37" i="6"/>
  <c r="M37" i="6" s="1"/>
  <c r="I37" i="6" s="1"/>
  <c r="L36" i="6"/>
  <c r="M36" i="6" s="1"/>
  <c r="I36" i="6" s="1"/>
  <c r="L35" i="6"/>
  <c r="M35" i="6" s="1"/>
  <c r="I35" i="6" s="1"/>
  <c r="L27" i="6"/>
  <c r="M27" i="6" s="1"/>
  <c r="I27" i="6" s="1"/>
  <c r="L26" i="6"/>
  <c r="M26" i="6" s="1"/>
  <c r="I26" i="6" s="1"/>
  <c r="L24" i="6"/>
  <c r="M24" i="6" s="1"/>
  <c r="I24" i="6" s="1"/>
  <c r="L23" i="6"/>
  <c r="L21" i="6"/>
  <c r="M21" i="6" s="1"/>
  <c r="I21" i="6" s="1"/>
  <c r="L20" i="6"/>
  <c r="M20" i="6" s="1"/>
  <c r="I20" i="6" s="1"/>
  <c r="L19" i="6"/>
  <c r="M19" i="6" s="1"/>
  <c r="I19" i="6" s="1"/>
  <c r="L18" i="6"/>
  <c r="M18" i="6" s="1"/>
  <c r="I18" i="6" s="1"/>
  <c r="L10" i="6"/>
  <c r="M10" i="6" s="1"/>
  <c r="I10" i="6" s="1"/>
  <c r="L9" i="6"/>
  <c r="M9" i="6" s="1"/>
  <c r="L8" i="6"/>
  <c r="M8" i="6" s="1"/>
  <c r="I8" i="6" s="1"/>
  <c r="L7" i="6"/>
  <c r="L6" i="6"/>
  <c r="M6" i="6" s="1"/>
  <c r="I6" i="6" s="1"/>
  <c r="L5" i="6"/>
  <c r="M5" i="6" s="1"/>
  <c r="I5" i="6" s="1"/>
  <c r="L4" i="6"/>
  <c r="M4" i="6" s="1"/>
  <c r="I4" i="6" s="1"/>
  <c r="L3" i="6"/>
  <c r="M7" i="6" l="1"/>
  <c r="E52" i="6"/>
  <c r="A106" i="13"/>
  <c r="A105" i="13"/>
  <c r="I9" i="6"/>
  <c r="M3" i="6"/>
  <c r="M23" i="6"/>
  <c r="I23" i="6" s="1"/>
  <c r="I7" i="6" l="1"/>
  <c r="G52" i="6" s="1"/>
  <c r="B58" i="6" s="1"/>
  <c r="B13" i="5" s="1"/>
  <c r="B18" i="5" s="1"/>
  <c r="J52" i="6"/>
  <c r="A108" i="13"/>
  <c r="A107" i="13"/>
  <c r="I3" i="6"/>
  <c r="B81" i="5" l="1"/>
  <c r="D81" i="5" s="1"/>
  <c r="A110" i="13"/>
  <c r="A109" i="13"/>
  <c r="B55" i="6"/>
  <c r="B16" i="5" s="1"/>
  <c r="B57" i="5" s="1"/>
  <c r="B56" i="6"/>
  <c r="B17" i="5" s="1"/>
  <c r="B38" i="5" s="1"/>
  <c r="A112" i="13" l="1"/>
  <c r="A111" i="13"/>
  <c r="B57" i="6"/>
  <c r="B15" i="5" s="1"/>
  <c r="F81" i="5" s="1"/>
  <c r="B55" i="5"/>
  <c r="B58" i="5" s="1"/>
  <c r="A113" i="13" l="1"/>
  <c r="A114" i="13"/>
  <c r="A115" i="13" l="1"/>
  <c r="A116" i="13"/>
  <c r="A118" i="13" l="1"/>
  <c r="A117" i="13"/>
  <c r="A73" i="6"/>
  <c r="B73" i="6" s="1"/>
  <c r="E73" i="6" s="1"/>
  <c r="A74" i="6"/>
  <c r="B74" i="6" s="1"/>
  <c r="A75" i="6"/>
  <c r="B75" i="6" s="1"/>
  <c r="E75" i="6" s="1"/>
  <c r="A76" i="6"/>
  <c r="B76" i="6" s="1"/>
  <c r="E76" i="6" s="1"/>
  <c r="A77" i="6"/>
  <c r="D77" i="6" s="1"/>
  <c r="A120" i="13" l="1"/>
  <c r="A119" i="13"/>
  <c r="T84" i="6"/>
  <c r="N85" i="6"/>
  <c r="Q85" i="6" s="1"/>
  <c r="D83" i="6"/>
  <c r="F83" i="6" s="1"/>
  <c r="I86" i="6"/>
  <c r="K86" i="6" s="1"/>
  <c r="O86" i="6"/>
  <c r="R86" i="6" s="1"/>
  <c r="J83" i="6"/>
  <c r="L83" i="6" s="1"/>
  <c r="U85" i="6"/>
  <c r="E84" i="6"/>
  <c r="G84" i="6" s="1"/>
  <c r="O83" i="6"/>
  <c r="R83" i="6" s="1"/>
  <c r="J84" i="6"/>
  <c r="L84" i="6" s="1"/>
  <c r="E85" i="6"/>
  <c r="G85" i="6" s="1"/>
  <c r="U86" i="6"/>
  <c r="J82" i="6"/>
  <c r="L82" i="6" s="1"/>
  <c r="O82" i="6"/>
  <c r="R82" i="6" s="1"/>
  <c r="U82" i="6"/>
  <c r="E82" i="6"/>
  <c r="G82" i="6" s="1"/>
  <c r="F77" i="6"/>
  <c r="D246" i="6" s="1"/>
  <c r="I76" i="6"/>
  <c r="K76" i="6" s="1"/>
  <c r="T74" i="6"/>
  <c r="N75" i="6"/>
  <c r="Q75" i="6" s="1"/>
  <c r="G76" i="6"/>
  <c r="E245" i="6" s="1"/>
  <c r="O74" i="6"/>
  <c r="R74" i="6" s="1"/>
  <c r="J75" i="6"/>
  <c r="L75" i="6" s="1"/>
  <c r="U77" i="6"/>
  <c r="O77" i="6"/>
  <c r="R77" i="6" s="1"/>
  <c r="J74" i="6"/>
  <c r="L74" i="6" s="1"/>
  <c r="U76" i="6"/>
  <c r="G75" i="6"/>
  <c r="E244" i="6" s="1"/>
  <c r="J73" i="6"/>
  <c r="L73" i="6" s="1"/>
  <c r="O73" i="6"/>
  <c r="R73" i="6" s="1"/>
  <c r="G73" i="6"/>
  <c r="U73" i="6"/>
  <c r="D76" i="6"/>
  <c r="D75" i="6"/>
  <c r="E74" i="6"/>
  <c r="D74" i="6"/>
  <c r="D73" i="6"/>
  <c r="B77" i="6"/>
  <c r="E77" i="6" s="1"/>
  <c r="A122" i="13" l="1"/>
  <c r="A121" i="13"/>
  <c r="O84" i="6"/>
  <c r="R84" i="6" s="1"/>
  <c r="J85" i="6"/>
  <c r="L85" i="6" s="1"/>
  <c r="U83" i="6"/>
  <c r="E86" i="6"/>
  <c r="G86" i="6" s="1"/>
  <c r="C102" i="6"/>
  <c r="E102" i="6" s="1"/>
  <c r="W85" i="6"/>
  <c r="W86" i="6"/>
  <c r="C103" i="6"/>
  <c r="T85" i="6"/>
  <c r="D84" i="6"/>
  <c r="F84" i="6" s="1"/>
  <c r="I83" i="6"/>
  <c r="K83" i="6" s="1"/>
  <c r="N86" i="6"/>
  <c r="Q86" i="6" s="1"/>
  <c r="W82" i="6"/>
  <c r="C99" i="6"/>
  <c r="N84" i="6"/>
  <c r="Q84" i="6" s="1"/>
  <c r="I85" i="6"/>
  <c r="K85" i="6" s="1"/>
  <c r="D86" i="6"/>
  <c r="F86" i="6" s="1"/>
  <c r="T83" i="6"/>
  <c r="U84" i="6"/>
  <c r="O85" i="6"/>
  <c r="R85" i="6" s="1"/>
  <c r="J86" i="6"/>
  <c r="L86" i="6" s="1"/>
  <c r="E83" i="6"/>
  <c r="G83" i="6" s="1"/>
  <c r="D82" i="6"/>
  <c r="F82" i="6" s="1"/>
  <c r="T82" i="6"/>
  <c r="N82" i="6"/>
  <c r="Q82" i="6" s="1"/>
  <c r="I82" i="6"/>
  <c r="K82" i="6" s="1"/>
  <c r="N83" i="6"/>
  <c r="Q83" i="6" s="1"/>
  <c r="I84" i="6"/>
  <c r="K84" i="6" s="1"/>
  <c r="T86" i="6"/>
  <c r="D85" i="6"/>
  <c r="F85" i="6" s="1"/>
  <c r="V84" i="6"/>
  <c r="W77" i="6"/>
  <c r="V74" i="6"/>
  <c r="W76" i="6"/>
  <c r="W73" i="6"/>
  <c r="N76" i="6"/>
  <c r="Q76" i="6" s="1"/>
  <c r="F74" i="6"/>
  <c r="D243" i="6" s="1"/>
  <c r="D247" i="6" s="1"/>
  <c r="T75" i="6"/>
  <c r="B101" i="6" s="1"/>
  <c r="I77" i="6"/>
  <c r="K77" i="6" s="1"/>
  <c r="N73" i="6"/>
  <c r="Q73" i="6" s="1"/>
  <c r="F73" i="6"/>
  <c r="I73" i="6"/>
  <c r="K73" i="6" s="1"/>
  <c r="T73" i="6"/>
  <c r="G77" i="6"/>
  <c r="E246" i="6" s="1"/>
  <c r="J76" i="6"/>
  <c r="L76" i="6" s="1"/>
  <c r="U74" i="6"/>
  <c r="O75" i="6"/>
  <c r="R75" i="6" s="1"/>
  <c r="O76" i="6"/>
  <c r="R76" i="6" s="1"/>
  <c r="G74" i="6"/>
  <c r="E243" i="6" s="1"/>
  <c r="J77" i="6"/>
  <c r="L77" i="6" s="1"/>
  <c r="U75" i="6"/>
  <c r="I75" i="6"/>
  <c r="K75" i="6" s="1"/>
  <c r="T77" i="6"/>
  <c r="N74" i="6"/>
  <c r="Q74" i="6" s="1"/>
  <c r="F76" i="6"/>
  <c r="D245" i="6" s="1"/>
  <c r="N77" i="6"/>
  <c r="Q77" i="6" s="1"/>
  <c r="F75" i="6"/>
  <c r="D244" i="6" s="1"/>
  <c r="I74" i="6"/>
  <c r="K74" i="6" s="1"/>
  <c r="T76" i="6"/>
  <c r="A124" i="13" l="1"/>
  <c r="A123" i="13"/>
  <c r="V82" i="6"/>
  <c r="B99" i="6"/>
  <c r="C101" i="6"/>
  <c r="E101" i="6" s="1"/>
  <c r="W84" i="6"/>
  <c r="B102" i="6"/>
  <c r="D102" i="6" s="1"/>
  <c r="V85" i="6"/>
  <c r="C100" i="6"/>
  <c r="E100" i="6" s="1"/>
  <c r="W83" i="6"/>
  <c r="B100" i="6"/>
  <c r="D100" i="6" s="1"/>
  <c r="V83" i="6"/>
  <c r="V86" i="6"/>
  <c r="B103" i="6"/>
  <c r="D103" i="6" s="1"/>
  <c r="W75" i="6"/>
  <c r="V73" i="6"/>
  <c r="V75" i="6"/>
  <c r="V76" i="6"/>
  <c r="V77" i="6"/>
  <c r="W74" i="6"/>
  <c r="E103" i="6"/>
  <c r="D101" i="6"/>
  <c r="A126" i="13" l="1"/>
  <c r="A125" i="13"/>
  <c r="B109" i="6"/>
  <c r="A117" i="6"/>
  <c r="D142" i="6"/>
  <c r="F142" i="6" s="1"/>
  <c r="D141" i="6"/>
  <c r="F141" i="6" s="1"/>
  <c r="E247" i="6"/>
  <c r="E141" i="6"/>
  <c r="G141" i="6" s="1"/>
  <c r="E142" i="6"/>
  <c r="G142" i="6" s="1"/>
  <c r="B117" i="6"/>
  <c r="B121" i="6"/>
  <c r="B113" i="6"/>
  <c r="A113" i="6"/>
  <c r="A109" i="6"/>
  <c r="A121" i="6"/>
  <c r="A145" i="6"/>
  <c r="A146" i="6" s="1"/>
  <c r="B127" i="6"/>
  <c r="D99" i="6"/>
  <c r="D140" i="6" s="1"/>
  <c r="K246" i="6" s="1"/>
  <c r="E99" i="6"/>
  <c r="E140" i="6" s="1"/>
  <c r="B91" i="6"/>
  <c r="B93" i="6" s="1"/>
  <c r="E117" i="6" s="1"/>
  <c r="A128" i="13" l="1"/>
  <c r="A127" i="13"/>
  <c r="D31" i="1"/>
  <c r="L142" i="6" s="1"/>
  <c r="D30" i="1"/>
  <c r="L141" i="6" s="1"/>
  <c r="C30" i="1"/>
  <c r="B30" i="1" s="1"/>
  <c r="C31" i="1"/>
  <c r="C117" i="6"/>
  <c r="C125" i="6" s="1"/>
  <c r="D125" i="6" s="1"/>
  <c r="C121" i="6"/>
  <c r="D121" i="6" s="1"/>
  <c r="L244" i="6"/>
  <c r="G140" i="6"/>
  <c r="L245" i="6"/>
  <c r="L243" i="6"/>
  <c r="L246" i="6"/>
  <c r="M246" i="6" s="1"/>
  <c r="O244" i="6"/>
  <c r="O243" i="6"/>
  <c r="O247" i="6" s="1"/>
  <c r="O245" i="6"/>
  <c r="O246" i="6"/>
  <c r="F140" i="6"/>
  <c r="K245" i="6"/>
  <c r="K243" i="6"/>
  <c r="K247" i="6" s="1"/>
  <c r="K244" i="6"/>
  <c r="C109" i="6"/>
  <c r="C113" i="6"/>
  <c r="D113" i="6" s="1"/>
  <c r="E113" i="6"/>
  <c r="E109" i="6"/>
  <c r="E121" i="6"/>
  <c r="A147" i="6"/>
  <c r="B31" i="1" l="1"/>
  <c r="A130" i="13"/>
  <c r="A129" i="13"/>
  <c r="C29" i="1"/>
  <c r="D29" i="1"/>
  <c r="K141" i="6"/>
  <c r="O141" i="6" s="1"/>
  <c r="K142" i="6"/>
  <c r="M142" i="6" s="1"/>
  <c r="N142" i="6" s="1"/>
  <c r="D117" i="6"/>
  <c r="B135" i="6"/>
  <c r="L247" i="6"/>
  <c r="M247" i="6" s="1"/>
  <c r="M243" i="6"/>
  <c r="M244" i="6"/>
  <c r="N244" i="6" s="1"/>
  <c r="M245" i="6"/>
  <c r="N245" i="6" s="1"/>
  <c r="N246" i="6"/>
  <c r="B133" i="6"/>
  <c r="B132" i="6"/>
  <c r="B134" i="6"/>
  <c r="A148" i="6"/>
  <c r="A149" i="6"/>
  <c r="D109" i="6"/>
  <c r="O142" i="6" l="1"/>
  <c r="Q142" i="6" s="1"/>
  <c r="A132" i="13"/>
  <c r="A131" i="13"/>
  <c r="M141" i="6"/>
  <c r="N141" i="6" s="1"/>
  <c r="R244" i="6"/>
  <c r="F8" i="1" s="1"/>
  <c r="Q244" i="6"/>
  <c r="E8" i="1" s="1"/>
  <c r="R245" i="6"/>
  <c r="F9" i="1" s="1"/>
  <c r="Q245" i="6"/>
  <c r="E9" i="1" s="1"/>
  <c r="N243" i="6"/>
  <c r="N247" i="6" s="1"/>
  <c r="Q243" i="6"/>
  <c r="E7" i="1" s="1"/>
  <c r="R243" i="6"/>
  <c r="Q246" i="6"/>
  <c r="E10" i="1" s="1"/>
  <c r="R246" i="6"/>
  <c r="F10" i="1" s="1"/>
  <c r="B128" i="6"/>
  <c r="D128" i="6" s="1"/>
  <c r="B129" i="6" s="1"/>
  <c r="B130" i="6"/>
  <c r="D130" i="6" s="1"/>
  <c r="B131" i="6" s="1"/>
  <c r="A150" i="6"/>
  <c r="A151" i="6"/>
  <c r="D36" i="5"/>
  <c r="R247" i="6" l="1"/>
  <c r="F7" i="1"/>
  <c r="F11" i="1" s="1"/>
  <c r="E11" i="1"/>
  <c r="E31" i="1"/>
  <c r="R142" i="6"/>
  <c r="Q141" i="6"/>
  <c r="A134" i="13"/>
  <c r="A133" i="13"/>
  <c r="R141" i="6"/>
  <c r="Q247" i="6"/>
  <c r="C149" i="6"/>
  <c r="H149" i="6" s="1"/>
  <c r="I149" i="6" s="1"/>
  <c r="C148" i="6"/>
  <c r="H148" i="6" s="1"/>
  <c r="I148" i="6" s="1"/>
  <c r="C144" i="6"/>
  <c r="H144" i="6" s="1"/>
  <c r="I144" i="6" s="1"/>
  <c r="D144" i="6" s="1"/>
  <c r="C145" i="6"/>
  <c r="H145" i="6" s="1"/>
  <c r="I145" i="6" s="1"/>
  <c r="C143" i="6"/>
  <c r="H143" i="6" s="1"/>
  <c r="I143" i="6" s="1"/>
  <c r="A152" i="6"/>
  <c r="C152" i="6" s="1"/>
  <c r="H152" i="6" s="1"/>
  <c r="I152" i="6" s="1"/>
  <c r="A153" i="6"/>
  <c r="C153" i="6" s="1"/>
  <c r="H153" i="6" s="1"/>
  <c r="I153" i="6" s="1"/>
  <c r="O250" i="6" l="1"/>
  <c r="C62" i="8" s="1"/>
  <c r="E62" i="8" s="1"/>
  <c r="F30" i="1"/>
  <c r="E30" i="1"/>
  <c r="F31" i="1"/>
  <c r="T142" i="6"/>
  <c r="T141" i="6"/>
  <c r="A136" i="13"/>
  <c r="A135" i="13"/>
  <c r="D143" i="6"/>
  <c r="E143" i="6" s="1"/>
  <c r="D152" i="6"/>
  <c r="E152" i="6" s="1"/>
  <c r="G152" i="6" s="1"/>
  <c r="E144" i="6"/>
  <c r="G144" i="6" s="1"/>
  <c r="D33" i="1" s="1"/>
  <c r="D145" i="6"/>
  <c r="F145" i="6" s="1"/>
  <c r="D153" i="6"/>
  <c r="F153" i="6" s="1"/>
  <c r="D148" i="6"/>
  <c r="F148" i="6" s="1"/>
  <c r="D149" i="6"/>
  <c r="F149" i="6" s="1"/>
  <c r="C150" i="6"/>
  <c r="H150" i="6" s="1"/>
  <c r="I150" i="6" s="1"/>
  <c r="D150" i="6" s="1"/>
  <c r="E150" i="6" s="1"/>
  <c r="C151" i="6"/>
  <c r="H151" i="6" s="1"/>
  <c r="I151" i="6" s="1"/>
  <c r="C147" i="6"/>
  <c r="H147" i="6" s="1"/>
  <c r="I147" i="6" s="1"/>
  <c r="C146" i="6"/>
  <c r="H146" i="6" s="1"/>
  <c r="I146" i="6" s="1"/>
  <c r="D146" i="6" s="1"/>
  <c r="E146" i="6" s="1"/>
  <c r="A154" i="6"/>
  <c r="C154" i="6" s="1"/>
  <c r="H154" i="6" s="1"/>
  <c r="I154" i="6" s="1"/>
  <c r="D154" i="6" s="1"/>
  <c r="E154" i="6" s="1"/>
  <c r="A155" i="6"/>
  <c r="C155" i="6" s="1"/>
  <c r="H155" i="6" s="1"/>
  <c r="I155" i="6" s="1"/>
  <c r="A138" i="13" l="1"/>
  <c r="A137" i="13"/>
  <c r="L144" i="6"/>
  <c r="D151" i="6"/>
  <c r="E151" i="6" s="1"/>
  <c r="D41" i="1"/>
  <c r="C38" i="1"/>
  <c r="C42" i="1"/>
  <c r="D147" i="6"/>
  <c r="E147" i="6" s="1"/>
  <c r="C37" i="1"/>
  <c r="C34" i="1"/>
  <c r="D155" i="6"/>
  <c r="E155" i="6" s="1"/>
  <c r="F144" i="6"/>
  <c r="F152" i="6"/>
  <c r="C41" i="1" s="1"/>
  <c r="E149" i="6"/>
  <c r="G149" i="6" s="1"/>
  <c r="D38" i="1" s="1"/>
  <c r="E148" i="6"/>
  <c r="G148" i="6" s="1"/>
  <c r="D37" i="1" s="1"/>
  <c r="E145" i="6"/>
  <c r="G145" i="6" s="1"/>
  <c r="D34" i="1" s="1"/>
  <c r="E153" i="6"/>
  <c r="G153" i="6" s="1"/>
  <c r="D42" i="1" s="1"/>
  <c r="F154" i="6"/>
  <c r="C43" i="1" s="1"/>
  <c r="F150" i="6"/>
  <c r="C39" i="1" s="1"/>
  <c r="F143" i="6"/>
  <c r="F146" i="6"/>
  <c r="C35" i="1" s="1"/>
  <c r="A156" i="6"/>
  <c r="C156" i="6" s="1"/>
  <c r="H156" i="6" s="1"/>
  <c r="I156" i="6" s="1"/>
  <c r="A157" i="6"/>
  <c r="C157" i="6" s="1"/>
  <c r="H157" i="6" s="1"/>
  <c r="I157" i="6" s="1"/>
  <c r="B34" i="5"/>
  <c r="A140" i="13" l="1"/>
  <c r="A139" i="13"/>
  <c r="L149" i="6"/>
  <c r="L152" i="6"/>
  <c r="C32" i="1"/>
  <c r="B32" i="1" s="1"/>
  <c r="C33" i="1"/>
  <c r="K144" i="6" s="1"/>
  <c r="O144" i="6" s="1"/>
  <c r="L153" i="6"/>
  <c r="L148" i="6"/>
  <c r="L145" i="6"/>
  <c r="F151" i="6"/>
  <c r="B35" i="5"/>
  <c r="B40" i="5" s="1"/>
  <c r="K150" i="6"/>
  <c r="K153" i="6"/>
  <c r="K152" i="6"/>
  <c r="K145" i="6"/>
  <c r="K148" i="6"/>
  <c r="K149" i="6"/>
  <c r="K146" i="6"/>
  <c r="K154" i="6"/>
  <c r="F147" i="6"/>
  <c r="F155" i="6"/>
  <c r="C44" i="1" s="1"/>
  <c r="D157" i="6"/>
  <c r="F157" i="6" s="1"/>
  <c r="D156" i="6"/>
  <c r="F156" i="6" s="1"/>
  <c r="C45" i="1" s="1"/>
  <c r="G147" i="6"/>
  <c r="G154" i="6"/>
  <c r="G150" i="6"/>
  <c r="G146" i="6"/>
  <c r="G155" i="6"/>
  <c r="D44" i="1" s="1"/>
  <c r="G151" i="6"/>
  <c r="G143" i="6"/>
  <c r="A158" i="6"/>
  <c r="C158" i="6" s="1"/>
  <c r="H158" i="6" s="1"/>
  <c r="I158" i="6" s="1"/>
  <c r="A159" i="6"/>
  <c r="C159" i="6" s="1"/>
  <c r="H159" i="6" s="1"/>
  <c r="I159" i="6" s="1"/>
  <c r="B33" i="1" l="1"/>
  <c r="B34" i="1" s="1"/>
  <c r="B35" i="1" s="1"/>
  <c r="A142" i="13"/>
  <c r="A141" i="13"/>
  <c r="D40" i="1"/>
  <c r="L155" i="6"/>
  <c r="D35" i="1"/>
  <c r="K143" i="6"/>
  <c r="O143" i="6" s="1"/>
  <c r="C36" i="1"/>
  <c r="C40" i="1"/>
  <c r="D39" i="1"/>
  <c r="D36" i="1"/>
  <c r="D43" i="1"/>
  <c r="D32" i="1"/>
  <c r="O146" i="6"/>
  <c r="O145" i="6"/>
  <c r="M145" i="6"/>
  <c r="N145" i="6" s="1"/>
  <c r="O150" i="6"/>
  <c r="O149" i="6"/>
  <c r="M149" i="6"/>
  <c r="N149" i="6" s="1"/>
  <c r="M148" i="6"/>
  <c r="N148" i="6" s="1"/>
  <c r="M153" i="6"/>
  <c r="N153" i="6" s="1"/>
  <c r="O152" i="6"/>
  <c r="M152" i="6"/>
  <c r="N152" i="6" s="1"/>
  <c r="M144" i="6"/>
  <c r="N144" i="6" s="1"/>
  <c r="O154" i="6"/>
  <c r="O153" i="6"/>
  <c r="K155" i="6"/>
  <c r="O148" i="6"/>
  <c r="K156" i="6"/>
  <c r="C46" i="1"/>
  <c r="D158" i="6"/>
  <c r="E158" i="6" s="1"/>
  <c r="D159" i="6"/>
  <c r="E159" i="6" s="1"/>
  <c r="E157" i="6"/>
  <c r="G157" i="6" s="1"/>
  <c r="D46" i="1" s="1"/>
  <c r="E156" i="6"/>
  <c r="G156" i="6" s="1"/>
  <c r="A160" i="6"/>
  <c r="C160" i="6" s="1"/>
  <c r="H160" i="6" s="1"/>
  <c r="I160" i="6" s="1"/>
  <c r="A161" i="6"/>
  <c r="C161" i="6" s="1"/>
  <c r="H161" i="6" s="1"/>
  <c r="I161" i="6" s="1"/>
  <c r="B36" i="1" l="1"/>
  <c r="A144" i="13"/>
  <c r="A143" i="13"/>
  <c r="L154" i="6"/>
  <c r="M154" i="6" s="1"/>
  <c r="N154" i="6" s="1"/>
  <c r="L147" i="6"/>
  <c r="L150" i="6"/>
  <c r="M150" i="6" s="1"/>
  <c r="N150" i="6" s="1"/>
  <c r="L157" i="6"/>
  <c r="K151" i="6"/>
  <c r="L146" i="6"/>
  <c r="M146" i="6" s="1"/>
  <c r="N146" i="6" s="1"/>
  <c r="D45" i="1"/>
  <c r="K147" i="6"/>
  <c r="O147" i="6" s="1"/>
  <c r="L151" i="6"/>
  <c r="L143" i="6"/>
  <c r="M143" i="6" s="1"/>
  <c r="N143" i="6" s="1"/>
  <c r="R153" i="6"/>
  <c r="F42" i="1" s="1"/>
  <c r="Q152" i="6"/>
  <c r="E41" i="1" s="1"/>
  <c r="Q145" i="6"/>
  <c r="Q144" i="6"/>
  <c r="O155" i="6"/>
  <c r="M155" i="6"/>
  <c r="N155" i="6" s="1"/>
  <c r="Q153" i="6"/>
  <c r="E42" i="1" s="1"/>
  <c r="R144" i="6"/>
  <c r="Q148" i="6"/>
  <c r="E37" i="1" s="1"/>
  <c r="R148" i="6"/>
  <c r="F37" i="1" s="1"/>
  <c r="R149" i="6"/>
  <c r="F38" i="1" s="1"/>
  <c r="R152" i="6"/>
  <c r="F41" i="1" s="1"/>
  <c r="R145" i="6"/>
  <c r="Q149" i="6"/>
  <c r="E38" i="1" s="1"/>
  <c r="K157" i="6"/>
  <c r="O156" i="6"/>
  <c r="F158" i="6"/>
  <c r="F159" i="6"/>
  <c r="C48" i="1" s="1"/>
  <c r="D161" i="6"/>
  <c r="E161" i="6" s="1"/>
  <c r="G161" i="6" s="1"/>
  <c r="D160" i="6"/>
  <c r="F160" i="6" s="1"/>
  <c r="C49" i="1" s="1"/>
  <c r="G158" i="6"/>
  <c r="G159" i="6"/>
  <c r="D48" i="1" s="1"/>
  <c r="A163" i="6"/>
  <c r="C163" i="6" s="1"/>
  <c r="H163" i="6" s="1"/>
  <c r="I163" i="6" s="1"/>
  <c r="A162" i="6"/>
  <c r="C162" i="6" s="1"/>
  <c r="H162" i="6" s="1"/>
  <c r="I162" i="6" s="1"/>
  <c r="E33" i="1" l="1"/>
  <c r="E34" i="1"/>
  <c r="F33" i="1"/>
  <c r="F34" i="1"/>
  <c r="B37" i="1"/>
  <c r="Q154" i="6"/>
  <c r="E43" i="1" s="1"/>
  <c r="R150" i="6"/>
  <c r="F39" i="1" s="1"/>
  <c r="Q143" i="6"/>
  <c r="Q146" i="6"/>
  <c r="Q150" i="6"/>
  <c r="E39" i="1" s="1"/>
  <c r="A146" i="13"/>
  <c r="A145" i="13"/>
  <c r="L159" i="6"/>
  <c r="M147" i="6"/>
  <c r="N147" i="6" s="1"/>
  <c r="D47" i="1"/>
  <c r="O151" i="6"/>
  <c r="M151" i="6"/>
  <c r="N151" i="6" s="1"/>
  <c r="R154" i="6"/>
  <c r="F43" i="1" s="1"/>
  <c r="C47" i="1"/>
  <c r="K158" i="6" s="1"/>
  <c r="R143" i="6"/>
  <c r="L156" i="6"/>
  <c r="M156" i="6" s="1"/>
  <c r="N156" i="6" s="1"/>
  <c r="R146" i="6"/>
  <c r="T149" i="6"/>
  <c r="T153" i="6"/>
  <c r="T145" i="6"/>
  <c r="R155" i="6"/>
  <c r="F44" i="1" s="1"/>
  <c r="Q155" i="6"/>
  <c r="E44" i="1" s="1"/>
  <c r="M157" i="6"/>
  <c r="N157" i="6" s="1"/>
  <c r="O157" i="6"/>
  <c r="K160" i="6"/>
  <c r="K159" i="6"/>
  <c r="D163" i="6"/>
  <c r="E163" i="6" s="1"/>
  <c r="D50" i="1"/>
  <c r="D162" i="6"/>
  <c r="E162" i="6" s="1"/>
  <c r="F161" i="6"/>
  <c r="C50" i="1" s="1"/>
  <c r="E160" i="6"/>
  <c r="G160" i="6" s="1"/>
  <c r="A165" i="6"/>
  <c r="C165" i="6" s="1"/>
  <c r="H165" i="6" s="1"/>
  <c r="I165" i="6" s="1"/>
  <c r="A164" i="6"/>
  <c r="C164" i="6" s="1"/>
  <c r="H164" i="6" s="1"/>
  <c r="I164" i="6" s="1"/>
  <c r="F32" i="1" l="1"/>
  <c r="E35" i="1"/>
  <c r="F35" i="1"/>
  <c r="E32" i="1"/>
  <c r="T154" i="6"/>
  <c r="B38" i="1"/>
  <c r="T150" i="6"/>
  <c r="R156" i="6"/>
  <c r="F45" i="1" s="1"/>
  <c r="Q156" i="6"/>
  <c r="E45" i="1" s="1"/>
  <c r="T144" i="6"/>
  <c r="T146" i="6"/>
  <c r="T143" i="6"/>
  <c r="Q151" i="6"/>
  <c r="E40" i="1" s="1"/>
  <c r="Q147" i="6"/>
  <c r="A148" i="13"/>
  <c r="A147" i="13"/>
  <c r="L161" i="6"/>
  <c r="R147" i="6"/>
  <c r="L158" i="6"/>
  <c r="M158" i="6" s="1"/>
  <c r="N158" i="6" s="1"/>
  <c r="D49" i="1"/>
  <c r="R151" i="6"/>
  <c r="F40" i="1" s="1"/>
  <c r="Q157" i="6"/>
  <c r="E46" i="1" s="1"/>
  <c r="O158" i="6"/>
  <c r="T155" i="6"/>
  <c r="R157" i="6"/>
  <c r="F46" i="1" s="1"/>
  <c r="M159" i="6"/>
  <c r="N159" i="6" s="1"/>
  <c r="O159" i="6"/>
  <c r="K161" i="6"/>
  <c r="F163" i="6"/>
  <c r="C52" i="1" s="1"/>
  <c r="O160" i="6"/>
  <c r="F162" i="6"/>
  <c r="G163" i="6"/>
  <c r="D52" i="1" s="1"/>
  <c r="D164" i="6"/>
  <c r="F164" i="6" s="1"/>
  <c r="D165" i="6"/>
  <c r="F165" i="6" s="1"/>
  <c r="G162" i="6"/>
  <c r="A167" i="6"/>
  <c r="C167" i="6" s="1"/>
  <c r="H167" i="6" s="1"/>
  <c r="I167" i="6" s="1"/>
  <c r="A166" i="6"/>
  <c r="C166" i="6" s="1"/>
  <c r="H166" i="6" s="1"/>
  <c r="I166" i="6" s="1"/>
  <c r="D166" i="6" s="1"/>
  <c r="E166" i="6" s="1"/>
  <c r="E36" i="1" l="1"/>
  <c r="F36" i="1"/>
  <c r="T156" i="6"/>
  <c r="B39" i="1"/>
  <c r="T148" i="6"/>
  <c r="T152" i="6"/>
  <c r="T147" i="6"/>
  <c r="A150" i="13"/>
  <c r="A149" i="13"/>
  <c r="R158" i="6"/>
  <c r="F47" i="1" s="1"/>
  <c r="C53" i="1"/>
  <c r="K164" i="6" s="1"/>
  <c r="L163" i="6"/>
  <c r="C51" i="1"/>
  <c r="K162" i="6" s="1"/>
  <c r="L160" i="6"/>
  <c r="M160" i="6" s="1"/>
  <c r="N160" i="6" s="1"/>
  <c r="T151" i="6"/>
  <c r="D51" i="1"/>
  <c r="T157" i="6"/>
  <c r="Q158" i="6"/>
  <c r="E47" i="1" s="1"/>
  <c r="Q159" i="6"/>
  <c r="E48" i="1" s="1"/>
  <c r="R159" i="6"/>
  <c r="F48" i="1" s="1"/>
  <c r="M161" i="6"/>
  <c r="N161" i="6" s="1"/>
  <c r="O161" i="6"/>
  <c r="K163" i="6"/>
  <c r="C54" i="1"/>
  <c r="D167" i="6"/>
  <c r="E167" i="6" s="1"/>
  <c r="E165" i="6"/>
  <c r="G165" i="6" s="1"/>
  <c r="D54" i="1" s="1"/>
  <c r="E164" i="6"/>
  <c r="G164" i="6" s="1"/>
  <c r="F166" i="6"/>
  <c r="C55" i="1" s="1"/>
  <c r="A169" i="6"/>
  <c r="C169" i="6" s="1"/>
  <c r="H169" i="6" s="1"/>
  <c r="I169" i="6" s="1"/>
  <c r="A168" i="6"/>
  <c r="C168" i="6" s="1"/>
  <c r="H168" i="6" s="1"/>
  <c r="I168" i="6" s="1"/>
  <c r="B40" i="1" l="1"/>
  <c r="Q160" i="6"/>
  <c r="E49" i="1" s="1"/>
  <c r="R160" i="6"/>
  <c r="F49" i="1" s="1"/>
  <c r="M163" i="6"/>
  <c r="N163" i="6" s="1"/>
  <c r="A152" i="13"/>
  <c r="A151" i="13"/>
  <c r="L162" i="6"/>
  <c r="M162" i="6" s="1"/>
  <c r="N162" i="6" s="1"/>
  <c r="L165" i="6"/>
  <c r="T158" i="6"/>
  <c r="D53" i="1"/>
  <c r="Q161" i="6"/>
  <c r="E50" i="1" s="1"/>
  <c r="T159" i="6"/>
  <c r="O163" i="6"/>
  <c r="R161" i="6"/>
  <c r="F50" i="1" s="1"/>
  <c r="O162" i="6"/>
  <c r="K165" i="6"/>
  <c r="K166" i="6"/>
  <c r="O166" i="6" s="1"/>
  <c r="O164" i="6"/>
  <c r="F167" i="6"/>
  <c r="C56" i="1" s="1"/>
  <c r="D169" i="6"/>
  <c r="E169" i="6" s="1"/>
  <c r="G169" i="6" s="1"/>
  <c r="D168" i="6"/>
  <c r="F168" i="6" s="1"/>
  <c r="C57" i="1" s="1"/>
  <c r="G166" i="6"/>
  <c r="G167" i="6"/>
  <c r="D56" i="1" s="1"/>
  <c r="A171" i="6"/>
  <c r="C171" i="6" s="1"/>
  <c r="H171" i="6" s="1"/>
  <c r="I171" i="6" s="1"/>
  <c r="A170" i="6"/>
  <c r="C170" i="6" s="1"/>
  <c r="H170" i="6" s="1"/>
  <c r="I170" i="6" s="1"/>
  <c r="D170" i="6" s="1"/>
  <c r="E170" i="6" s="1"/>
  <c r="B41" i="1" l="1"/>
  <c r="B42" i="1" s="1"/>
  <c r="B43" i="1" s="1"/>
  <c r="B44" i="1" s="1"/>
  <c r="B45" i="1" s="1"/>
  <c r="B46" i="1" s="1"/>
  <c r="B47" i="1" s="1"/>
  <c r="B48" i="1" s="1"/>
  <c r="B49" i="1" s="1"/>
  <c r="B50" i="1" s="1"/>
  <c r="B51" i="1" s="1"/>
  <c r="B52" i="1" s="1"/>
  <c r="B53" i="1" s="1"/>
  <c r="B54" i="1" s="1"/>
  <c r="B55" i="1" s="1"/>
  <c r="B56" i="1" s="1"/>
  <c r="B57" i="1" s="1"/>
  <c r="T160" i="6"/>
  <c r="R163" i="6"/>
  <c r="F52" i="1" s="1"/>
  <c r="M165" i="6"/>
  <c r="N165" i="6" s="1"/>
  <c r="A154" i="13"/>
  <c r="A153" i="13"/>
  <c r="L167" i="6"/>
  <c r="D55" i="1"/>
  <c r="L164" i="6"/>
  <c r="M164" i="6" s="1"/>
  <c r="N164" i="6" s="1"/>
  <c r="T161" i="6"/>
  <c r="O165" i="6"/>
  <c r="R162" i="6"/>
  <c r="F51" i="1" s="1"/>
  <c r="Q163" i="6"/>
  <c r="E52" i="1" s="1"/>
  <c r="Q162" i="6"/>
  <c r="E51" i="1" s="1"/>
  <c r="K168" i="6"/>
  <c r="K167" i="6"/>
  <c r="D171" i="6"/>
  <c r="E171" i="6" s="1"/>
  <c r="F169" i="6"/>
  <c r="C58" i="1" s="1"/>
  <c r="D58" i="1"/>
  <c r="E168" i="6"/>
  <c r="G168" i="6" s="1"/>
  <c r="F170" i="6"/>
  <c r="C59" i="1" s="1"/>
  <c r="A172" i="6"/>
  <c r="C172" i="6" s="1"/>
  <c r="H172" i="6" s="1"/>
  <c r="I172" i="6" s="1"/>
  <c r="A173" i="6"/>
  <c r="C173" i="6" s="1"/>
  <c r="H173" i="6" s="1"/>
  <c r="I173" i="6" s="1"/>
  <c r="M167" i="6" l="1"/>
  <c r="N167" i="6" s="1"/>
  <c r="B58" i="1"/>
  <c r="B59" i="1" s="1"/>
  <c r="R165" i="6"/>
  <c r="F54" i="1" s="1"/>
  <c r="R164" i="6"/>
  <c r="F53" i="1" s="1"/>
  <c r="Q164" i="6"/>
  <c r="E53" i="1" s="1"/>
  <c r="A156" i="13"/>
  <c r="A155" i="13"/>
  <c r="D57" i="1"/>
  <c r="L169" i="6"/>
  <c r="L166" i="6"/>
  <c r="M166" i="6" s="1"/>
  <c r="N166" i="6" s="1"/>
  <c r="T162" i="6"/>
  <c r="T163" i="6"/>
  <c r="Q165" i="6"/>
  <c r="E54" i="1" s="1"/>
  <c r="O167" i="6"/>
  <c r="K170" i="6"/>
  <c r="K169" i="6"/>
  <c r="O168" i="6"/>
  <c r="F171" i="6"/>
  <c r="C60" i="1" s="1"/>
  <c r="D173" i="6"/>
  <c r="E173" i="6" s="1"/>
  <c r="G173" i="6" s="1"/>
  <c r="D172" i="6"/>
  <c r="F172" i="6" s="1"/>
  <c r="C61" i="1" s="1"/>
  <c r="G171" i="6"/>
  <c r="D60" i="1" s="1"/>
  <c r="G170" i="6"/>
  <c r="A174" i="6"/>
  <c r="C174" i="6" s="1"/>
  <c r="H174" i="6" s="1"/>
  <c r="I174" i="6" s="1"/>
  <c r="D174" i="6" s="1"/>
  <c r="E174" i="6" s="1"/>
  <c r="A175" i="6"/>
  <c r="C175" i="6" s="1"/>
  <c r="H175" i="6" s="1"/>
  <c r="I175" i="6" s="1"/>
  <c r="R167" i="6" l="1"/>
  <c r="F56" i="1" s="1"/>
  <c r="B60" i="1"/>
  <c r="B61" i="1" s="1"/>
  <c r="T164" i="6"/>
  <c r="T165" i="6"/>
  <c r="R166" i="6"/>
  <c r="F55" i="1" s="1"/>
  <c r="M169" i="6"/>
  <c r="N169" i="6" s="1"/>
  <c r="A158" i="13"/>
  <c r="A157" i="13"/>
  <c r="L171" i="6"/>
  <c r="D59" i="1"/>
  <c r="Q166" i="6"/>
  <c r="E55" i="1" s="1"/>
  <c r="L168" i="6"/>
  <c r="M168" i="6" s="1"/>
  <c r="N168" i="6" s="1"/>
  <c r="Q167" i="6"/>
  <c r="E56" i="1" s="1"/>
  <c r="O169" i="6"/>
  <c r="O170" i="6"/>
  <c r="K172" i="6"/>
  <c r="K171" i="6"/>
  <c r="D175" i="6"/>
  <c r="E175" i="6" s="1"/>
  <c r="D62" i="1"/>
  <c r="F173" i="6"/>
  <c r="C62" i="1" s="1"/>
  <c r="E172" i="6"/>
  <c r="G172" i="6" s="1"/>
  <c r="F174" i="6"/>
  <c r="C63" i="1" s="1"/>
  <c r="A176" i="6"/>
  <c r="C176" i="6" s="1"/>
  <c r="H176" i="6" s="1"/>
  <c r="I176" i="6" s="1"/>
  <c r="A177" i="6"/>
  <c r="C177" i="6" s="1"/>
  <c r="H177" i="6" s="1"/>
  <c r="I177" i="6" s="1"/>
  <c r="Q169" i="6" l="1"/>
  <c r="E58" i="1" s="1"/>
  <c r="M171" i="6"/>
  <c r="N171" i="6" s="1"/>
  <c r="B62" i="1"/>
  <c r="B63" i="1" s="1"/>
  <c r="R168" i="6"/>
  <c r="F57" i="1" s="1"/>
  <c r="T166" i="6"/>
  <c r="Q168" i="6"/>
  <c r="E57" i="1" s="1"/>
  <c r="T167" i="6"/>
  <c r="R169" i="6"/>
  <c r="F58" i="1" s="1"/>
  <c r="A160" i="13"/>
  <c r="A159" i="13"/>
  <c r="D61" i="1"/>
  <c r="L170" i="6"/>
  <c r="M170" i="6" s="1"/>
  <c r="N170" i="6" s="1"/>
  <c r="L173" i="6"/>
  <c r="O171" i="6"/>
  <c r="K173" i="6"/>
  <c r="K174" i="6"/>
  <c r="O172" i="6"/>
  <c r="F175" i="6"/>
  <c r="C64" i="1" s="1"/>
  <c r="D176" i="6"/>
  <c r="F176" i="6" s="1"/>
  <c r="C65" i="1" s="1"/>
  <c r="D177" i="6"/>
  <c r="F177" i="6" s="1"/>
  <c r="G175" i="6"/>
  <c r="D64" i="1" s="1"/>
  <c r="G174" i="6"/>
  <c r="A178" i="6"/>
  <c r="C178" i="6" s="1"/>
  <c r="H178" i="6" s="1"/>
  <c r="I178" i="6" s="1"/>
  <c r="D178" i="6" s="1"/>
  <c r="E178" i="6" s="1"/>
  <c r="A179" i="6"/>
  <c r="C179" i="6" s="1"/>
  <c r="H179" i="6" s="1"/>
  <c r="I179" i="6" s="1"/>
  <c r="Q171" i="6" l="1"/>
  <c r="E60" i="1" s="1"/>
  <c r="T169" i="6"/>
  <c r="B64" i="1"/>
  <c r="B65" i="1" s="1"/>
  <c r="T168" i="6"/>
  <c r="M173" i="6"/>
  <c r="N173" i="6" s="1"/>
  <c r="R170" i="6"/>
  <c r="F59" i="1" s="1"/>
  <c r="A162" i="13"/>
  <c r="A161" i="13"/>
  <c r="L175" i="6"/>
  <c r="L172" i="6"/>
  <c r="M172" i="6" s="1"/>
  <c r="N172" i="6" s="1"/>
  <c r="R171" i="6"/>
  <c r="F60" i="1" s="1"/>
  <c r="D63" i="1"/>
  <c r="Q170" i="6"/>
  <c r="E59" i="1" s="1"/>
  <c r="O173" i="6"/>
  <c r="O174" i="6"/>
  <c r="K176" i="6"/>
  <c r="K175" i="6"/>
  <c r="M175" i="6" s="1"/>
  <c r="D179" i="6"/>
  <c r="E179" i="6" s="1"/>
  <c r="C66" i="1"/>
  <c r="E176" i="6"/>
  <c r="G176" i="6" s="1"/>
  <c r="E177" i="6"/>
  <c r="G177" i="6" s="1"/>
  <c r="D66" i="1" s="1"/>
  <c r="F178" i="6"/>
  <c r="C67" i="1" s="1"/>
  <c r="A180" i="6"/>
  <c r="C180" i="6" s="1"/>
  <c r="H180" i="6" s="1"/>
  <c r="I180" i="6" s="1"/>
  <c r="A181" i="6"/>
  <c r="C181" i="6" s="1"/>
  <c r="H181" i="6" s="1"/>
  <c r="I181" i="6" s="1"/>
  <c r="Q173" i="6" l="1"/>
  <c r="E62" i="1" s="1"/>
  <c r="B66" i="1"/>
  <c r="B67" i="1" s="1"/>
  <c r="T170" i="6"/>
  <c r="Q172" i="6"/>
  <c r="E61" i="1" s="1"/>
  <c r="T171" i="6"/>
  <c r="A164" i="13"/>
  <c r="A163" i="13"/>
  <c r="D65" i="1"/>
  <c r="L174" i="6"/>
  <c r="M174" i="6" s="1"/>
  <c r="Q174" i="6" s="1"/>
  <c r="E63" i="1" s="1"/>
  <c r="R172" i="6"/>
  <c r="F61" i="1" s="1"/>
  <c r="L177" i="6"/>
  <c r="R173" i="6"/>
  <c r="F62" i="1" s="1"/>
  <c r="O175" i="6"/>
  <c r="R175" i="6" s="1"/>
  <c r="F64" i="1" s="1"/>
  <c r="N175" i="6"/>
  <c r="K178" i="6"/>
  <c r="K177" i="6"/>
  <c r="O176" i="6"/>
  <c r="F179" i="6"/>
  <c r="C68" i="1" s="1"/>
  <c r="D181" i="6"/>
  <c r="F181" i="6" s="1"/>
  <c r="D180" i="6"/>
  <c r="F180" i="6" s="1"/>
  <c r="C69" i="1" s="1"/>
  <c r="G179" i="6"/>
  <c r="D68" i="1" s="1"/>
  <c r="G178" i="6"/>
  <c r="A182" i="6"/>
  <c r="C182" i="6" s="1"/>
  <c r="H182" i="6" s="1"/>
  <c r="I182" i="6" s="1"/>
  <c r="D182" i="6" s="1"/>
  <c r="E182" i="6" s="1"/>
  <c r="A183" i="6"/>
  <c r="C183" i="6" s="1"/>
  <c r="H183" i="6" s="1"/>
  <c r="I183" i="6" s="1"/>
  <c r="T173" i="6" l="1"/>
  <c r="B68" i="1"/>
  <c r="B69" i="1" s="1"/>
  <c r="T172" i="6"/>
  <c r="A166" i="13"/>
  <c r="A165" i="13"/>
  <c r="Q175" i="6"/>
  <c r="E64" i="1" s="1"/>
  <c r="N174" i="6"/>
  <c r="R174" i="6"/>
  <c r="F63" i="1" s="1"/>
  <c r="D67" i="1"/>
  <c r="L176" i="6"/>
  <c r="M176" i="6" s="1"/>
  <c r="N176" i="6" s="1"/>
  <c r="L179" i="6"/>
  <c r="O178" i="6"/>
  <c r="M177" i="6"/>
  <c r="N177" i="6" s="1"/>
  <c r="O177" i="6"/>
  <c r="K180" i="6"/>
  <c r="K179" i="6"/>
  <c r="C70" i="1"/>
  <c r="D183" i="6"/>
  <c r="E183" i="6" s="1"/>
  <c r="E181" i="6"/>
  <c r="G181" i="6" s="1"/>
  <c r="D70" i="1" s="1"/>
  <c r="E180" i="6"/>
  <c r="G180" i="6" s="1"/>
  <c r="F182" i="6"/>
  <c r="C71" i="1" s="1"/>
  <c r="A184" i="6"/>
  <c r="C184" i="6" s="1"/>
  <c r="H184" i="6" s="1"/>
  <c r="I184" i="6" s="1"/>
  <c r="A185" i="6"/>
  <c r="C185" i="6" s="1"/>
  <c r="H185" i="6" s="1"/>
  <c r="I185" i="6" s="1"/>
  <c r="T174" i="6" l="1"/>
  <c r="B70" i="1"/>
  <c r="B71" i="1" s="1"/>
  <c r="Q176" i="6"/>
  <c r="E65" i="1" s="1"/>
  <c r="R176" i="6"/>
  <c r="F65" i="1" s="1"/>
  <c r="T175" i="6"/>
  <c r="A168" i="13"/>
  <c r="A167" i="13"/>
  <c r="L178" i="6"/>
  <c r="M178" i="6" s="1"/>
  <c r="Q177" i="6"/>
  <c r="E66" i="1" s="1"/>
  <c r="R177" i="6"/>
  <c r="F66" i="1" s="1"/>
  <c r="D69" i="1"/>
  <c r="L181" i="6"/>
  <c r="O179" i="6"/>
  <c r="M179" i="6"/>
  <c r="N179" i="6" s="1"/>
  <c r="K181" i="6"/>
  <c r="K182" i="6"/>
  <c r="O180" i="6"/>
  <c r="F183" i="6"/>
  <c r="C72" i="1" s="1"/>
  <c r="D184" i="6"/>
  <c r="F184" i="6" s="1"/>
  <c r="C73" i="1" s="1"/>
  <c r="D185" i="6"/>
  <c r="F185" i="6" s="1"/>
  <c r="G182" i="6"/>
  <c r="G183" i="6"/>
  <c r="D72" i="1" s="1"/>
  <c r="A186" i="6"/>
  <c r="C186" i="6" s="1"/>
  <c r="H186" i="6" s="1"/>
  <c r="I186" i="6" s="1"/>
  <c r="A187" i="6"/>
  <c r="C187" i="6" s="1"/>
  <c r="H187" i="6" s="1"/>
  <c r="I187" i="6" s="1"/>
  <c r="B72" i="1" l="1"/>
  <c r="B73" i="1" s="1"/>
  <c r="T176" i="6"/>
  <c r="T177" i="6"/>
  <c r="A170" i="13"/>
  <c r="A169" i="13"/>
  <c r="D71" i="1"/>
  <c r="N178" i="6"/>
  <c r="R178" i="6"/>
  <c r="F67" i="1" s="1"/>
  <c r="Q178" i="6"/>
  <c r="E67" i="1" s="1"/>
  <c r="Q179" i="6"/>
  <c r="E68" i="1" s="1"/>
  <c r="L180" i="6"/>
  <c r="M180" i="6" s="1"/>
  <c r="N180" i="6" s="1"/>
  <c r="L183" i="6"/>
  <c r="R179" i="6"/>
  <c r="F68" i="1" s="1"/>
  <c r="O182" i="6"/>
  <c r="O181" i="6"/>
  <c r="M181" i="6"/>
  <c r="N181" i="6" s="1"/>
  <c r="K183" i="6"/>
  <c r="K184" i="6"/>
  <c r="C74" i="1"/>
  <c r="D187" i="6"/>
  <c r="E187" i="6" s="1"/>
  <c r="D186" i="6"/>
  <c r="E186" i="6" s="1"/>
  <c r="E185" i="6"/>
  <c r="G185" i="6" s="1"/>
  <c r="D74" i="1" s="1"/>
  <c r="E184" i="6"/>
  <c r="G184" i="6" s="1"/>
  <c r="A188" i="6"/>
  <c r="C188" i="6" s="1"/>
  <c r="H188" i="6" s="1"/>
  <c r="I188" i="6" s="1"/>
  <c r="A189" i="6"/>
  <c r="C189" i="6" s="1"/>
  <c r="H189" i="6" s="1"/>
  <c r="I189" i="6" s="1"/>
  <c r="M183" i="6" l="1"/>
  <c r="N183" i="6" s="1"/>
  <c r="Q181" i="6"/>
  <c r="E70" i="1" s="1"/>
  <c r="B74" i="1"/>
  <c r="T178" i="6"/>
  <c r="Q180" i="6"/>
  <c r="E69" i="1" s="1"/>
  <c r="R180" i="6"/>
  <c r="F69" i="1" s="1"/>
  <c r="T179" i="6"/>
  <c r="A172" i="13"/>
  <c r="A171" i="13"/>
  <c r="D73" i="1"/>
  <c r="L185" i="6"/>
  <c r="L182" i="6"/>
  <c r="M182" i="6" s="1"/>
  <c r="N182" i="6" s="1"/>
  <c r="R181" i="6"/>
  <c r="F70" i="1" s="1"/>
  <c r="O183" i="6"/>
  <c r="K185" i="6"/>
  <c r="O184" i="6"/>
  <c r="F187" i="6"/>
  <c r="C76" i="1" s="1"/>
  <c r="F186" i="6"/>
  <c r="D188" i="6"/>
  <c r="E188" i="6" s="1"/>
  <c r="G188" i="6" s="1"/>
  <c r="D77" i="1" s="1"/>
  <c r="G186" i="6"/>
  <c r="D189" i="6"/>
  <c r="F189" i="6" s="1"/>
  <c r="G187" i="6"/>
  <c r="D76" i="1" s="1"/>
  <c r="A190" i="6"/>
  <c r="C190" i="6" s="1"/>
  <c r="H190" i="6" s="1"/>
  <c r="I190" i="6" s="1"/>
  <c r="D190" i="6" s="1"/>
  <c r="E190" i="6" s="1"/>
  <c r="A191" i="6"/>
  <c r="C191" i="6" s="1"/>
  <c r="H191" i="6" s="1"/>
  <c r="I191" i="6" s="1"/>
  <c r="Q183" i="6" l="1"/>
  <c r="E72" i="1" s="1"/>
  <c r="T180" i="6"/>
  <c r="T181" i="6"/>
  <c r="M185" i="6"/>
  <c r="N185" i="6" s="1"/>
  <c r="A174" i="13"/>
  <c r="A173" i="13"/>
  <c r="C75" i="1"/>
  <c r="R182" i="6"/>
  <c r="F71" i="1" s="1"/>
  <c r="L187" i="6"/>
  <c r="L184" i="6"/>
  <c r="M184" i="6" s="1"/>
  <c r="N184" i="6" s="1"/>
  <c r="D75" i="1"/>
  <c r="L188" i="6"/>
  <c r="Q182" i="6"/>
  <c r="E71" i="1" s="1"/>
  <c r="R183" i="6"/>
  <c r="F72" i="1" s="1"/>
  <c r="O185" i="6"/>
  <c r="K187" i="6"/>
  <c r="D191" i="6"/>
  <c r="E191" i="6" s="1"/>
  <c r="G191" i="6" s="1"/>
  <c r="C78" i="1"/>
  <c r="F188" i="6"/>
  <c r="E189" i="6"/>
  <c r="G189" i="6" s="1"/>
  <c r="D78" i="1" s="1"/>
  <c r="F190" i="6"/>
  <c r="C79" i="1" s="1"/>
  <c r="A192" i="6"/>
  <c r="C192" i="6" s="1"/>
  <c r="H192" i="6" s="1"/>
  <c r="I192" i="6" s="1"/>
  <c r="A193" i="6"/>
  <c r="C193" i="6" s="1"/>
  <c r="H193" i="6" s="1"/>
  <c r="I193" i="6" s="1"/>
  <c r="R185" i="6" l="1"/>
  <c r="F74" i="1" s="1"/>
  <c r="K186" i="6"/>
  <c r="O186" i="6" s="1"/>
  <c r="B75" i="1"/>
  <c r="B76" i="1" s="1"/>
  <c r="T183" i="6"/>
  <c r="T182" i="6"/>
  <c r="Q184" i="6"/>
  <c r="E73" i="1" s="1"/>
  <c r="R184" i="6"/>
  <c r="F73" i="1" s="1"/>
  <c r="A175" i="13"/>
  <c r="L186" i="6"/>
  <c r="L189" i="6"/>
  <c r="C77" i="1"/>
  <c r="Q185" i="6"/>
  <c r="E74" i="1" s="1"/>
  <c r="O187" i="6"/>
  <c r="M187" i="6"/>
  <c r="N187" i="6" s="1"/>
  <c r="K190" i="6"/>
  <c r="K189" i="6"/>
  <c r="F191" i="6"/>
  <c r="C80" i="1" s="1"/>
  <c r="D80" i="1"/>
  <c r="D192" i="6"/>
  <c r="F192" i="6" s="1"/>
  <c r="C81" i="1" s="1"/>
  <c r="D193" i="6"/>
  <c r="F193" i="6" s="1"/>
  <c r="G190" i="6"/>
  <c r="A194" i="6"/>
  <c r="C194" i="6" s="1"/>
  <c r="H194" i="6" s="1"/>
  <c r="I194" i="6" s="1"/>
  <c r="D194" i="6" s="1"/>
  <c r="E194" i="6" s="1"/>
  <c r="A195" i="6"/>
  <c r="C195" i="6" s="1"/>
  <c r="H195" i="6" s="1"/>
  <c r="I195" i="6" s="1"/>
  <c r="M189" i="6" l="1"/>
  <c r="N189" i="6" s="1"/>
  <c r="Q187" i="6"/>
  <c r="E76" i="1" s="1"/>
  <c r="T184" i="6"/>
  <c r="K188" i="6"/>
  <c r="M188" i="6" s="1"/>
  <c r="N188" i="6" s="1"/>
  <c r="B77" i="1"/>
  <c r="B78" i="1" s="1"/>
  <c r="B79" i="1" s="1"/>
  <c r="B80" i="1" s="1"/>
  <c r="B81" i="1" s="1"/>
  <c r="M186" i="6"/>
  <c r="Q186" i="6" s="1"/>
  <c r="E75" i="1" s="1"/>
  <c r="T185" i="6"/>
  <c r="L191" i="6"/>
  <c r="D79" i="1"/>
  <c r="R187" i="6"/>
  <c r="F76" i="1" s="1"/>
  <c r="O190" i="6"/>
  <c r="O189" i="6"/>
  <c r="K192" i="6"/>
  <c r="K191" i="6"/>
  <c r="D195" i="6"/>
  <c r="E195" i="6" s="1"/>
  <c r="C82" i="1"/>
  <c r="E192" i="6"/>
  <c r="G192" i="6" s="1"/>
  <c r="E193" i="6"/>
  <c r="G193" i="6" s="1"/>
  <c r="D82" i="1" s="1"/>
  <c r="F194" i="6"/>
  <c r="C83" i="1" s="1"/>
  <c r="A196" i="6"/>
  <c r="C196" i="6" s="1"/>
  <c r="H196" i="6" s="1"/>
  <c r="I196" i="6" s="1"/>
  <c r="A197" i="6"/>
  <c r="C197" i="6" s="1"/>
  <c r="H197" i="6" s="1"/>
  <c r="I197" i="6" s="1"/>
  <c r="Q189" i="6" l="1"/>
  <c r="E78" i="1" s="1"/>
  <c r="N186" i="6"/>
  <c r="R186" i="6"/>
  <c r="F75" i="1" s="1"/>
  <c r="B82" i="1"/>
  <c r="B83" i="1" s="1"/>
  <c r="O188" i="6"/>
  <c r="R188" i="6" s="1"/>
  <c r="F77" i="1" s="1"/>
  <c r="L190" i="6"/>
  <c r="M190" i="6" s="1"/>
  <c r="N190" i="6" s="1"/>
  <c r="L193" i="6"/>
  <c r="D81" i="1"/>
  <c r="R189" i="6"/>
  <c r="F78" i="1" s="1"/>
  <c r="O192" i="6"/>
  <c r="M191" i="6"/>
  <c r="N191" i="6" s="1"/>
  <c r="O191" i="6"/>
  <c r="K193" i="6"/>
  <c r="K194" i="6"/>
  <c r="F195" i="6"/>
  <c r="C84" i="1" s="1"/>
  <c r="B84" i="1" s="1"/>
  <c r="D197" i="6"/>
  <c r="E197" i="6" s="1"/>
  <c r="G197" i="6" s="1"/>
  <c r="G195" i="6"/>
  <c r="D84" i="1" s="1"/>
  <c r="D196" i="6"/>
  <c r="F196" i="6" s="1"/>
  <c r="C85" i="1" s="1"/>
  <c r="B85" i="1" s="1"/>
  <c r="G194" i="6"/>
  <c r="A198" i="6"/>
  <c r="C198" i="6" s="1"/>
  <c r="H198" i="6" s="1"/>
  <c r="I198" i="6" s="1"/>
  <c r="D198" i="6" s="1"/>
  <c r="E198" i="6" s="1"/>
  <c r="A199" i="6"/>
  <c r="C199" i="6" s="1"/>
  <c r="H199" i="6" s="1"/>
  <c r="I199" i="6" s="1"/>
  <c r="Q188" i="6" l="1"/>
  <c r="E77" i="1" s="1"/>
  <c r="T187" i="6"/>
  <c r="T186" i="6"/>
  <c r="Q190" i="6"/>
  <c r="E79" i="1" s="1"/>
  <c r="R190" i="6"/>
  <c r="F79" i="1" s="1"/>
  <c r="Q191" i="6"/>
  <c r="E80" i="1" s="1"/>
  <c r="D83" i="1"/>
  <c r="L192" i="6"/>
  <c r="M192" i="6" s="1"/>
  <c r="N192" i="6" s="1"/>
  <c r="T189" i="6"/>
  <c r="L195" i="6"/>
  <c r="R191" i="6"/>
  <c r="F80" i="1" s="1"/>
  <c r="M193" i="6"/>
  <c r="N193" i="6" s="1"/>
  <c r="O193" i="6"/>
  <c r="K196" i="6"/>
  <c r="Q196" i="6" s="1"/>
  <c r="E85" i="1" s="1"/>
  <c r="O194" i="6"/>
  <c r="K195" i="6"/>
  <c r="F197" i="6"/>
  <c r="D86" i="1"/>
  <c r="C86" i="1"/>
  <c r="B86" i="1" s="1"/>
  <c r="D199" i="6"/>
  <c r="E199" i="6" s="1"/>
  <c r="E196" i="6"/>
  <c r="G196" i="6" s="1"/>
  <c r="D85" i="1" s="1"/>
  <c r="F198" i="6"/>
  <c r="C87" i="1" s="1"/>
  <c r="B87" i="1" s="1"/>
  <c r="A200" i="6"/>
  <c r="C200" i="6" s="1"/>
  <c r="H200" i="6" s="1"/>
  <c r="I200" i="6" s="1"/>
  <c r="A201" i="6"/>
  <c r="C201" i="6" s="1"/>
  <c r="H201" i="6" s="1"/>
  <c r="I201" i="6" s="1"/>
  <c r="T188" i="6" l="1"/>
  <c r="Q193" i="6"/>
  <c r="E82" i="1" s="1"/>
  <c r="T196" i="6"/>
  <c r="T190" i="6"/>
  <c r="T191" i="6"/>
  <c r="Q192" i="6"/>
  <c r="E81" i="1" s="1"/>
  <c r="R192" i="6"/>
  <c r="F81" i="1" s="1"/>
  <c r="L197" i="6"/>
  <c r="L194" i="6"/>
  <c r="M194" i="6" s="1"/>
  <c r="N194" i="6" s="1"/>
  <c r="L196" i="6"/>
  <c r="R193" i="6"/>
  <c r="F82" i="1" s="1"/>
  <c r="N196" i="6"/>
  <c r="R196" i="6"/>
  <c r="F85" i="1" s="1"/>
  <c r="Q195" i="6"/>
  <c r="E84" i="1" s="1"/>
  <c r="M195" i="6"/>
  <c r="O196" i="6"/>
  <c r="M196" i="6"/>
  <c r="R195" i="6"/>
  <c r="F84" i="1" s="1"/>
  <c r="O195" i="6"/>
  <c r="N195" i="6"/>
  <c r="K198" i="6"/>
  <c r="M198" i="6" s="1"/>
  <c r="K197" i="6"/>
  <c r="M197" i="6" s="1"/>
  <c r="F199" i="6"/>
  <c r="C88" i="1"/>
  <c r="B88" i="1" s="1"/>
  <c r="D201" i="6"/>
  <c r="E201" i="6" s="1"/>
  <c r="G201" i="6" s="1"/>
  <c r="D200" i="6"/>
  <c r="F200" i="6" s="1"/>
  <c r="C89" i="1" s="1"/>
  <c r="B89" i="1" s="1"/>
  <c r="G199" i="6"/>
  <c r="D88" i="1" s="1"/>
  <c r="G198" i="6"/>
  <c r="D87" i="1" s="1"/>
  <c r="A202" i="6"/>
  <c r="C202" i="6" s="1"/>
  <c r="H202" i="6" s="1"/>
  <c r="I202" i="6" s="1"/>
  <c r="A203" i="6"/>
  <c r="C203" i="6" s="1"/>
  <c r="H203" i="6" s="1"/>
  <c r="I203" i="6" s="1"/>
  <c r="T195" i="6" l="1"/>
  <c r="T192" i="6"/>
  <c r="T193" i="6"/>
  <c r="R194" i="6"/>
  <c r="F83" i="1" s="1"/>
  <c r="Q194" i="6"/>
  <c r="E83" i="1" s="1"/>
  <c r="L198" i="6"/>
  <c r="L199" i="6"/>
  <c r="R198" i="6"/>
  <c r="F87" i="1" s="1"/>
  <c r="N198" i="6"/>
  <c r="Q198" i="6"/>
  <c r="E87" i="1" s="1"/>
  <c r="O198" i="6"/>
  <c r="O197" i="6"/>
  <c r="R197" i="6"/>
  <c r="F86" i="1" s="1"/>
  <c r="N197" i="6"/>
  <c r="Q197" i="6"/>
  <c r="E86" i="1" s="1"/>
  <c r="K200" i="6"/>
  <c r="M200" i="6" s="1"/>
  <c r="K199" i="6"/>
  <c r="F201" i="6"/>
  <c r="D90" i="1"/>
  <c r="C90" i="1"/>
  <c r="B90" i="1" s="1"/>
  <c r="D203" i="6"/>
  <c r="E203" i="6" s="1"/>
  <c r="D202" i="6"/>
  <c r="F202" i="6" s="1"/>
  <c r="C91" i="1" s="1"/>
  <c r="B91" i="1" s="1"/>
  <c r="E200" i="6"/>
  <c r="G200" i="6" s="1"/>
  <c r="D89" i="1" s="1"/>
  <c r="A204" i="6"/>
  <c r="C204" i="6" s="1"/>
  <c r="H204" i="6" s="1"/>
  <c r="I204" i="6" s="1"/>
  <c r="A205" i="6"/>
  <c r="C205" i="6" s="1"/>
  <c r="H205" i="6" s="1"/>
  <c r="I205" i="6" s="1"/>
  <c r="T198" i="6" l="1"/>
  <c r="T197" i="6"/>
  <c r="T194" i="6"/>
  <c r="L200" i="6"/>
  <c r="L201" i="6"/>
  <c r="Q200" i="6"/>
  <c r="E89" i="1" s="1"/>
  <c r="R200" i="6"/>
  <c r="F89" i="1" s="1"/>
  <c r="O200" i="6"/>
  <c r="N200" i="6"/>
  <c r="R199" i="6"/>
  <c r="F88" i="1" s="1"/>
  <c r="M199" i="6"/>
  <c r="N199" i="6"/>
  <c r="O199" i="6"/>
  <c r="Q199" i="6"/>
  <c r="E88" i="1" s="1"/>
  <c r="K201" i="6"/>
  <c r="K202" i="6"/>
  <c r="M202" i="6" s="1"/>
  <c r="E202" i="6"/>
  <c r="G202" i="6" s="1"/>
  <c r="D91" i="1" s="1"/>
  <c r="F203" i="6"/>
  <c r="C92" i="1" s="1"/>
  <c r="B92" i="1" s="1"/>
  <c r="D204" i="6"/>
  <c r="F204" i="6" s="1"/>
  <c r="C93" i="1" s="1"/>
  <c r="B93" i="1" s="1"/>
  <c r="D205" i="6"/>
  <c r="F205" i="6" s="1"/>
  <c r="G203" i="6"/>
  <c r="D92" i="1" s="1"/>
  <c r="A206" i="6"/>
  <c r="C206" i="6" s="1"/>
  <c r="H206" i="6" s="1"/>
  <c r="I206" i="6" s="1"/>
  <c r="A207" i="6"/>
  <c r="C207" i="6" s="1"/>
  <c r="H207" i="6" s="1"/>
  <c r="I207" i="6" s="1"/>
  <c r="T199" i="6" l="1"/>
  <c r="T200" i="6"/>
  <c r="L202" i="6"/>
  <c r="L203" i="6"/>
  <c r="Q201" i="6"/>
  <c r="E90" i="1" s="1"/>
  <c r="M201" i="6"/>
  <c r="O202" i="6"/>
  <c r="N202" i="6"/>
  <c r="Q202" i="6"/>
  <c r="E91" i="1" s="1"/>
  <c r="R202" i="6"/>
  <c r="F91" i="1" s="1"/>
  <c r="R201" i="6"/>
  <c r="F90" i="1" s="1"/>
  <c r="N201" i="6"/>
  <c r="O201" i="6"/>
  <c r="K203" i="6"/>
  <c r="K204" i="6"/>
  <c r="D207" i="6"/>
  <c r="E207" i="6" s="1"/>
  <c r="C94" i="1"/>
  <c r="B94" i="1" s="1"/>
  <c r="D206" i="6"/>
  <c r="E206" i="6" s="1"/>
  <c r="G206" i="6" s="1"/>
  <c r="D95" i="1" s="1"/>
  <c r="E204" i="6"/>
  <c r="G204" i="6" s="1"/>
  <c r="D93" i="1" s="1"/>
  <c r="E205" i="6"/>
  <c r="G205" i="6" s="1"/>
  <c r="D94" i="1" s="1"/>
  <c r="A208" i="6"/>
  <c r="C208" i="6" s="1"/>
  <c r="H208" i="6" s="1"/>
  <c r="I208" i="6" s="1"/>
  <c r="A209" i="6"/>
  <c r="C209" i="6" s="1"/>
  <c r="H209" i="6" s="1"/>
  <c r="I209" i="6" s="1"/>
  <c r="T201" i="6" l="1"/>
  <c r="T202" i="6"/>
  <c r="L205" i="6"/>
  <c r="L204" i="6"/>
  <c r="L206" i="6"/>
  <c r="N204" i="6"/>
  <c r="M204" i="6"/>
  <c r="Q203" i="6"/>
  <c r="E92" i="1" s="1"/>
  <c r="M203" i="6"/>
  <c r="N203" i="6"/>
  <c r="R203" i="6"/>
  <c r="F92" i="1" s="1"/>
  <c r="O204" i="6"/>
  <c r="R204" i="6"/>
  <c r="F93" i="1" s="1"/>
  <c r="Q204" i="6"/>
  <c r="E93" i="1" s="1"/>
  <c r="O203" i="6"/>
  <c r="K205" i="6"/>
  <c r="M205" i="6" s="1"/>
  <c r="F207" i="6"/>
  <c r="C96" i="1"/>
  <c r="B96" i="1" s="1"/>
  <c r="F206" i="6"/>
  <c r="C95" i="1" s="1"/>
  <c r="B95" i="1" s="1"/>
  <c r="D209" i="6"/>
  <c r="E209" i="6" s="1"/>
  <c r="G209" i="6" s="1"/>
  <c r="D208" i="6"/>
  <c r="F208" i="6" s="1"/>
  <c r="C97" i="1" s="1"/>
  <c r="B97" i="1" s="1"/>
  <c r="G207" i="6"/>
  <c r="D96" i="1" s="1"/>
  <c r="A210" i="6"/>
  <c r="C210" i="6" s="1"/>
  <c r="H210" i="6" s="1"/>
  <c r="I210" i="6" s="1"/>
  <c r="D210" i="6" s="1"/>
  <c r="E210" i="6" s="1"/>
  <c r="A211" i="6"/>
  <c r="C211" i="6" s="1"/>
  <c r="H211" i="6" s="1"/>
  <c r="I211" i="6" s="1"/>
  <c r="T204" i="6" l="1"/>
  <c r="T203" i="6"/>
  <c r="L207" i="6"/>
  <c r="N205" i="6"/>
  <c r="R205" i="6"/>
  <c r="F94" i="1" s="1"/>
  <c r="Q205" i="6"/>
  <c r="E94" i="1" s="1"/>
  <c r="O205" i="6"/>
  <c r="K208" i="6"/>
  <c r="M208" i="6" s="1"/>
  <c r="K206" i="6"/>
  <c r="M206" i="6" s="1"/>
  <c r="K207" i="6"/>
  <c r="D98" i="1"/>
  <c r="D211" i="6"/>
  <c r="F211" i="6" s="1"/>
  <c r="F209" i="6"/>
  <c r="C98" i="1" s="1"/>
  <c r="B98" i="1" s="1"/>
  <c r="E208" i="6"/>
  <c r="G208" i="6" s="1"/>
  <c r="D97" i="1" s="1"/>
  <c r="F210" i="6"/>
  <c r="C99" i="1" s="1"/>
  <c r="B99" i="1" s="1"/>
  <c r="A212" i="6"/>
  <c r="C212" i="6" s="1"/>
  <c r="H212" i="6" s="1"/>
  <c r="I212" i="6" s="1"/>
  <c r="A213" i="6"/>
  <c r="C213" i="6" s="1"/>
  <c r="H213" i="6" s="1"/>
  <c r="I213" i="6" s="1"/>
  <c r="T205" i="6" l="1"/>
  <c r="L209" i="6"/>
  <c r="L208" i="6"/>
  <c r="Q208" i="6"/>
  <c r="E97" i="1" s="1"/>
  <c r="N208" i="6"/>
  <c r="O208" i="6"/>
  <c r="R208" i="6"/>
  <c r="F97" i="1" s="1"/>
  <c r="O207" i="6"/>
  <c r="M207" i="6"/>
  <c r="R207" i="6"/>
  <c r="F96" i="1" s="1"/>
  <c r="N207" i="6"/>
  <c r="Q207" i="6"/>
  <c r="E96" i="1" s="1"/>
  <c r="O206" i="6"/>
  <c r="N206" i="6"/>
  <c r="Q206" i="6"/>
  <c r="E95" i="1" s="1"/>
  <c r="R206" i="6"/>
  <c r="F95" i="1" s="1"/>
  <c r="K209" i="6"/>
  <c r="N209" i="6" s="1"/>
  <c r="K210" i="6"/>
  <c r="E211" i="6"/>
  <c r="G211" i="6" s="1"/>
  <c r="D100" i="1" s="1"/>
  <c r="C100" i="1"/>
  <c r="B100" i="1" s="1"/>
  <c r="D212" i="6"/>
  <c r="F212" i="6" s="1"/>
  <c r="C101" i="1" s="1"/>
  <c r="B101" i="1" s="1"/>
  <c r="D213" i="6"/>
  <c r="F213" i="6" s="1"/>
  <c r="G210" i="6"/>
  <c r="D99" i="1" s="1"/>
  <c r="A214" i="6"/>
  <c r="C214" i="6" s="1"/>
  <c r="H214" i="6" s="1"/>
  <c r="I214" i="6" s="1"/>
  <c r="D214" i="6" s="1"/>
  <c r="E214" i="6" s="1"/>
  <c r="A215" i="6"/>
  <c r="C215" i="6" s="1"/>
  <c r="H215" i="6" s="1"/>
  <c r="I215" i="6" s="1"/>
  <c r="T206" i="6" l="1"/>
  <c r="T207" i="6"/>
  <c r="T208" i="6"/>
  <c r="L211" i="6"/>
  <c r="L210" i="6"/>
  <c r="R209" i="6"/>
  <c r="F98" i="1" s="1"/>
  <c r="O209" i="6"/>
  <c r="R210" i="6"/>
  <c r="F99" i="1" s="1"/>
  <c r="M210" i="6"/>
  <c r="Q209" i="6"/>
  <c r="E98" i="1" s="1"/>
  <c r="M209" i="6"/>
  <c r="N210" i="6"/>
  <c r="O210" i="6"/>
  <c r="Q210" i="6"/>
  <c r="E99" i="1" s="1"/>
  <c r="K211" i="6"/>
  <c r="K212" i="6"/>
  <c r="D215" i="6"/>
  <c r="E215" i="6" s="1"/>
  <c r="E212" i="6"/>
  <c r="G212" i="6" s="1"/>
  <c r="D101" i="1" s="1"/>
  <c r="C102" i="1"/>
  <c r="B102" i="1" s="1"/>
  <c r="E213" i="6"/>
  <c r="G213" i="6" s="1"/>
  <c r="D102" i="1" s="1"/>
  <c r="F214" i="6"/>
  <c r="C103" i="1" s="1"/>
  <c r="B103" i="1" s="1"/>
  <c r="A216" i="6"/>
  <c r="C216" i="6" s="1"/>
  <c r="H216" i="6" s="1"/>
  <c r="I216" i="6" s="1"/>
  <c r="A217" i="6"/>
  <c r="C217" i="6" s="1"/>
  <c r="H217" i="6" s="1"/>
  <c r="I217" i="6" s="1"/>
  <c r="T209" i="6" l="1"/>
  <c r="T210" i="6"/>
  <c r="L213" i="6"/>
  <c r="L212" i="6"/>
  <c r="O211" i="6"/>
  <c r="M211" i="6"/>
  <c r="N212" i="6"/>
  <c r="M212" i="6"/>
  <c r="Q212" i="6"/>
  <c r="E101" i="1" s="1"/>
  <c r="R212" i="6"/>
  <c r="F101" i="1" s="1"/>
  <c r="O212" i="6"/>
  <c r="N211" i="6"/>
  <c r="Q211" i="6"/>
  <c r="E100" i="1" s="1"/>
  <c r="R211" i="6"/>
  <c r="F100" i="1" s="1"/>
  <c r="K213" i="6"/>
  <c r="M213" i="6" s="1"/>
  <c r="K214" i="6"/>
  <c r="O214" i="6" s="1"/>
  <c r="F215" i="6"/>
  <c r="C104" i="1"/>
  <c r="B104" i="1" s="1"/>
  <c r="D217" i="6"/>
  <c r="E217" i="6" s="1"/>
  <c r="G217" i="6" s="1"/>
  <c r="D216" i="6"/>
  <c r="F216" i="6" s="1"/>
  <c r="C105" i="1" s="1"/>
  <c r="B105" i="1" s="1"/>
  <c r="G215" i="6"/>
  <c r="D104" i="1" s="1"/>
  <c r="G214" i="6"/>
  <c r="D103" i="1" s="1"/>
  <c r="A218" i="6"/>
  <c r="C218" i="6" s="1"/>
  <c r="H218" i="6" s="1"/>
  <c r="I218" i="6" s="1"/>
  <c r="D218" i="6" s="1"/>
  <c r="E218" i="6" s="1"/>
  <c r="A219" i="6"/>
  <c r="C219" i="6" s="1"/>
  <c r="H219" i="6" s="1"/>
  <c r="I219" i="6" s="1"/>
  <c r="T211" i="6" l="1"/>
  <c r="T212" i="6"/>
  <c r="L214" i="6"/>
  <c r="L215" i="6"/>
  <c r="O213" i="6"/>
  <c r="Q213" i="6"/>
  <c r="E102" i="1" s="1"/>
  <c r="N213" i="6"/>
  <c r="R213" i="6"/>
  <c r="F102" i="1" s="1"/>
  <c r="R214" i="6"/>
  <c r="F103" i="1" s="1"/>
  <c r="M214" i="6"/>
  <c r="N214" i="6"/>
  <c r="Q214" i="6"/>
  <c r="E103" i="1" s="1"/>
  <c r="K215" i="6"/>
  <c r="M215" i="6" s="1"/>
  <c r="K216" i="6"/>
  <c r="D106" i="1"/>
  <c r="D219" i="6"/>
  <c r="F219" i="6" s="1"/>
  <c r="F217" i="6"/>
  <c r="C106" i="1" s="1"/>
  <c r="B106" i="1" s="1"/>
  <c r="E216" i="6"/>
  <c r="G216" i="6" s="1"/>
  <c r="D105" i="1" s="1"/>
  <c r="F218" i="6"/>
  <c r="C107" i="1" s="1"/>
  <c r="B107" i="1" s="1"/>
  <c r="A220" i="6"/>
  <c r="C220" i="6" s="1"/>
  <c r="H220" i="6" s="1"/>
  <c r="I220" i="6" s="1"/>
  <c r="A221" i="6"/>
  <c r="C221" i="6" s="1"/>
  <c r="H221" i="6" s="1"/>
  <c r="I221" i="6" s="1"/>
  <c r="T213" i="6" l="1"/>
  <c r="T214" i="6"/>
  <c r="L216" i="6"/>
  <c r="L217" i="6"/>
  <c r="Q215" i="6"/>
  <c r="E104" i="1" s="1"/>
  <c r="N215" i="6"/>
  <c r="O215" i="6"/>
  <c r="R215" i="6"/>
  <c r="F104" i="1" s="1"/>
  <c r="N216" i="6"/>
  <c r="M216" i="6"/>
  <c r="Q216" i="6"/>
  <c r="E105" i="1" s="1"/>
  <c r="R216" i="6"/>
  <c r="F105" i="1" s="1"/>
  <c r="O216" i="6"/>
  <c r="K217" i="6"/>
  <c r="M217" i="6" s="1"/>
  <c r="K218" i="6"/>
  <c r="C108" i="1"/>
  <c r="B108" i="1" s="1"/>
  <c r="E219" i="6"/>
  <c r="G219" i="6" s="1"/>
  <c r="D108" i="1" s="1"/>
  <c r="D221" i="6"/>
  <c r="F221" i="6" s="1"/>
  <c r="D220" i="6"/>
  <c r="F220" i="6" s="1"/>
  <c r="C109" i="1" s="1"/>
  <c r="B109" i="1" s="1"/>
  <c r="G218" i="6"/>
  <c r="D107" i="1" s="1"/>
  <c r="A222" i="6"/>
  <c r="C222" i="6" s="1"/>
  <c r="H222" i="6" s="1"/>
  <c r="I222" i="6" s="1"/>
  <c r="D222" i="6" s="1"/>
  <c r="E222" i="6" s="1"/>
  <c r="A223" i="6"/>
  <c r="C223" i="6" s="1"/>
  <c r="H223" i="6" s="1"/>
  <c r="I223" i="6" s="1"/>
  <c r="T215" i="6" l="1"/>
  <c r="T216" i="6"/>
  <c r="L218" i="6"/>
  <c r="L219" i="6"/>
  <c r="N217" i="6"/>
  <c r="Q217" i="6"/>
  <c r="E106" i="1" s="1"/>
  <c r="R217" i="6"/>
  <c r="F106" i="1" s="1"/>
  <c r="O217" i="6"/>
  <c r="Q218" i="6"/>
  <c r="E107" i="1" s="1"/>
  <c r="M218" i="6"/>
  <c r="O218" i="6"/>
  <c r="R218" i="6"/>
  <c r="F107" i="1" s="1"/>
  <c r="N218" i="6"/>
  <c r="K220" i="6"/>
  <c r="R220" i="6" s="1"/>
  <c r="F109" i="1" s="1"/>
  <c r="K219" i="6"/>
  <c r="C110" i="1"/>
  <c r="B110" i="1" s="1"/>
  <c r="D223" i="6"/>
  <c r="E223" i="6" s="1"/>
  <c r="E220" i="6"/>
  <c r="G220" i="6" s="1"/>
  <c r="D109" i="1" s="1"/>
  <c r="E221" i="6"/>
  <c r="G221" i="6" s="1"/>
  <c r="D110" i="1" s="1"/>
  <c r="F222" i="6"/>
  <c r="C111" i="1" s="1"/>
  <c r="B111" i="1" s="1"/>
  <c r="A224" i="6"/>
  <c r="C224" i="6" s="1"/>
  <c r="H224" i="6" s="1"/>
  <c r="I224" i="6" s="1"/>
  <c r="A225" i="6"/>
  <c r="C225" i="6" s="1"/>
  <c r="H225" i="6" s="1"/>
  <c r="I225" i="6" s="1"/>
  <c r="T218" i="6" l="1"/>
  <c r="T217" i="6"/>
  <c r="L220" i="6"/>
  <c r="L221" i="6"/>
  <c r="O220" i="6"/>
  <c r="Q220" i="6"/>
  <c r="E109" i="1" s="1"/>
  <c r="N219" i="6"/>
  <c r="M219" i="6"/>
  <c r="N220" i="6"/>
  <c r="M220" i="6"/>
  <c r="R219" i="6"/>
  <c r="F108" i="1" s="1"/>
  <c r="Q219" i="6"/>
  <c r="E108" i="1" s="1"/>
  <c r="O219" i="6"/>
  <c r="K221" i="6"/>
  <c r="K222" i="6"/>
  <c r="F223" i="6"/>
  <c r="C112" i="1" s="1"/>
  <c r="B112" i="1" s="1"/>
  <c r="D225" i="6"/>
  <c r="E225" i="6" s="1"/>
  <c r="G225" i="6" s="1"/>
  <c r="D224" i="6"/>
  <c r="F224" i="6" s="1"/>
  <c r="C113" i="1" s="1"/>
  <c r="B113" i="1" s="1"/>
  <c r="G222" i="6"/>
  <c r="D111" i="1" s="1"/>
  <c r="G223" i="6"/>
  <c r="D112" i="1" s="1"/>
  <c r="A226" i="6"/>
  <c r="C226" i="6" s="1"/>
  <c r="H226" i="6" s="1"/>
  <c r="I226" i="6" s="1"/>
  <c r="A227" i="6"/>
  <c r="C227" i="6" s="1"/>
  <c r="H227" i="6" s="1"/>
  <c r="I227" i="6" s="1"/>
  <c r="T219" i="6" l="1"/>
  <c r="T220" i="6"/>
  <c r="L223" i="6"/>
  <c r="L222" i="6"/>
  <c r="N221" i="6"/>
  <c r="M221" i="6"/>
  <c r="O222" i="6"/>
  <c r="M222" i="6"/>
  <c r="Q221" i="6"/>
  <c r="E110" i="1" s="1"/>
  <c r="O221" i="6"/>
  <c r="R221" i="6"/>
  <c r="F110" i="1" s="1"/>
  <c r="N222" i="6"/>
  <c r="Q222" i="6"/>
  <c r="E111" i="1" s="1"/>
  <c r="R222" i="6"/>
  <c r="F111" i="1" s="1"/>
  <c r="K223" i="6"/>
  <c r="K224" i="6"/>
  <c r="D114" i="1"/>
  <c r="D227" i="6"/>
  <c r="E227" i="6" s="1"/>
  <c r="D226" i="6"/>
  <c r="E226" i="6" s="1"/>
  <c r="F225" i="6"/>
  <c r="C114" i="1" s="1"/>
  <c r="B114" i="1" s="1"/>
  <c r="E224" i="6"/>
  <c r="G224" i="6" s="1"/>
  <c r="D113" i="1" s="1"/>
  <c r="A229" i="6"/>
  <c r="C229" i="6" s="1"/>
  <c r="H229" i="6" s="1"/>
  <c r="I229" i="6" s="1"/>
  <c r="A228" i="6"/>
  <c r="C228" i="6" s="1"/>
  <c r="H228" i="6" s="1"/>
  <c r="I228" i="6" s="1"/>
  <c r="T222" i="6" l="1"/>
  <c r="T221" i="6"/>
  <c r="L224" i="6"/>
  <c r="L225" i="6"/>
  <c r="N224" i="6"/>
  <c r="M224" i="6"/>
  <c r="Q223" i="6"/>
  <c r="E112" i="1" s="1"/>
  <c r="M223" i="6"/>
  <c r="R223" i="6"/>
  <c r="F112" i="1" s="1"/>
  <c r="N223" i="6"/>
  <c r="O223" i="6"/>
  <c r="R224" i="6"/>
  <c r="F113" i="1" s="1"/>
  <c r="Q224" i="6"/>
  <c r="E113" i="1" s="1"/>
  <c r="O224" i="6"/>
  <c r="K225" i="6"/>
  <c r="F227" i="6"/>
  <c r="F226" i="6"/>
  <c r="C115" i="1" s="1"/>
  <c r="B115" i="1" s="1"/>
  <c r="C116" i="1"/>
  <c r="B116" i="1" s="1"/>
  <c r="G226" i="6"/>
  <c r="D115" i="1" s="1"/>
  <c r="D228" i="6"/>
  <c r="F228" i="6" s="1"/>
  <c r="C117" i="1" s="1"/>
  <c r="B117" i="1" s="1"/>
  <c r="D229" i="6"/>
  <c r="F229" i="6" s="1"/>
  <c r="G227" i="6"/>
  <c r="D116" i="1" s="1"/>
  <c r="A231" i="6"/>
  <c r="C231" i="6" s="1"/>
  <c r="H231" i="6" s="1"/>
  <c r="I231" i="6" s="1"/>
  <c r="A230" i="6"/>
  <c r="C230" i="6" s="1"/>
  <c r="H230" i="6" s="1"/>
  <c r="I230" i="6" s="1"/>
  <c r="D230" i="6" s="1"/>
  <c r="E230" i="6" s="1"/>
  <c r="T224" i="6" l="1"/>
  <c r="T223" i="6"/>
  <c r="L226" i="6"/>
  <c r="L227" i="6"/>
  <c r="Q225" i="6"/>
  <c r="E114" i="1" s="1"/>
  <c r="M225" i="6"/>
  <c r="O225" i="6"/>
  <c r="R225" i="6"/>
  <c r="F114" i="1" s="1"/>
  <c r="N225" i="6"/>
  <c r="K228" i="6"/>
  <c r="M228" i="6" s="1"/>
  <c r="K227" i="6"/>
  <c r="M227" i="6" s="1"/>
  <c r="K226" i="6"/>
  <c r="D231" i="6"/>
  <c r="E231" i="6" s="1"/>
  <c r="C118" i="1"/>
  <c r="B118" i="1" s="1"/>
  <c r="E228" i="6"/>
  <c r="G228" i="6" s="1"/>
  <c r="D117" i="1" s="1"/>
  <c r="E229" i="6"/>
  <c r="G229" i="6" s="1"/>
  <c r="D118" i="1" s="1"/>
  <c r="F230" i="6"/>
  <c r="C119" i="1" s="1"/>
  <c r="B119" i="1" s="1"/>
  <c r="A232" i="6"/>
  <c r="C232" i="6" s="1"/>
  <c r="H232" i="6" s="1"/>
  <c r="I232" i="6" s="1"/>
  <c r="A233" i="6"/>
  <c r="C233" i="6" s="1"/>
  <c r="H233" i="6" s="1"/>
  <c r="I233" i="6" s="1"/>
  <c r="T225" i="6" l="1"/>
  <c r="O227" i="6"/>
  <c r="N227" i="6"/>
  <c r="R227" i="6"/>
  <c r="F116" i="1" s="1"/>
  <c r="L229" i="6"/>
  <c r="L228" i="6"/>
  <c r="Q228" i="6"/>
  <c r="E117" i="1" s="1"/>
  <c r="R228" i="6"/>
  <c r="F117" i="1" s="1"/>
  <c r="Q227" i="6"/>
  <c r="E116" i="1" s="1"/>
  <c r="O228" i="6"/>
  <c r="N228" i="6"/>
  <c r="Q226" i="6"/>
  <c r="E115" i="1" s="1"/>
  <c r="M226" i="6"/>
  <c r="N226" i="6"/>
  <c r="R226" i="6"/>
  <c r="F115" i="1" s="1"/>
  <c r="O226" i="6"/>
  <c r="K229" i="6"/>
  <c r="R229" i="6" s="1"/>
  <c r="F118" i="1" s="1"/>
  <c r="K230" i="6"/>
  <c r="F231" i="6"/>
  <c r="C120" i="1"/>
  <c r="B120" i="1" s="1"/>
  <c r="G230" i="6"/>
  <c r="D119" i="1" s="1"/>
  <c r="D232" i="6"/>
  <c r="E232" i="6" s="1"/>
  <c r="G232" i="6" s="1"/>
  <c r="D121" i="1" s="1"/>
  <c r="D233" i="6"/>
  <c r="F233" i="6" s="1"/>
  <c r="G231" i="6"/>
  <c r="D120" i="1" s="1"/>
  <c r="A234" i="6"/>
  <c r="C234" i="6" s="1"/>
  <c r="H234" i="6" s="1"/>
  <c r="I234" i="6" s="1"/>
  <c r="D234" i="6" s="1"/>
  <c r="E234" i="6" s="1"/>
  <c r="A235" i="6"/>
  <c r="C235" i="6" s="1"/>
  <c r="H235" i="6" s="1"/>
  <c r="I235" i="6" s="1"/>
  <c r="T228" i="6" l="1"/>
  <c r="T226" i="6"/>
  <c r="T227" i="6"/>
  <c r="L230" i="6"/>
  <c r="L231" i="6"/>
  <c r="L232" i="6"/>
  <c r="N229" i="6"/>
  <c r="N230" i="6"/>
  <c r="M230" i="6"/>
  <c r="O229" i="6"/>
  <c r="M229" i="6"/>
  <c r="Q229" i="6"/>
  <c r="E118" i="1" s="1"/>
  <c r="R230" i="6"/>
  <c r="F119" i="1" s="1"/>
  <c r="Q230" i="6"/>
  <c r="E119" i="1" s="1"/>
  <c r="O230" i="6"/>
  <c r="K231" i="6"/>
  <c r="D235" i="6"/>
  <c r="E235" i="6" s="1"/>
  <c r="G235" i="6" s="1"/>
  <c r="C122" i="1"/>
  <c r="B122" i="1" s="1"/>
  <c r="F232" i="6"/>
  <c r="C121" i="1" s="1"/>
  <c r="B121" i="1" s="1"/>
  <c r="E233" i="6"/>
  <c r="G233" i="6" s="1"/>
  <c r="D122" i="1" s="1"/>
  <c r="F234" i="6"/>
  <c r="C123" i="1" s="1"/>
  <c r="B123" i="1" s="1"/>
  <c r="A236" i="6"/>
  <c r="C236" i="6" s="1"/>
  <c r="H236" i="6" s="1"/>
  <c r="I236" i="6" s="1"/>
  <c r="A237" i="6"/>
  <c r="C237" i="6" s="1"/>
  <c r="H237" i="6" s="1"/>
  <c r="I237" i="6" s="1"/>
  <c r="T229" i="6" l="1"/>
  <c r="T230" i="6"/>
  <c r="L233" i="6"/>
  <c r="O231" i="6"/>
  <c r="M231" i="6"/>
  <c r="N231" i="6"/>
  <c r="R231" i="6"/>
  <c r="F120" i="1" s="1"/>
  <c r="Q231" i="6"/>
  <c r="E120" i="1" s="1"/>
  <c r="K232" i="6"/>
  <c r="M232" i="6" s="1"/>
  <c r="K234" i="6"/>
  <c r="K233" i="6"/>
  <c r="M233" i="6" s="1"/>
  <c r="F235" i="6"/>
  <c r="C124" i="1" s="1"/>
  <c r="B124" i="1" s="1"/>
  <c r="D124" i="1"/>
  <c r="D237" i="6"/>
  <c r="E237" i="6" s="1"/>
  <c r="G237" i="6" s="1"/>
  <c r="D236" i="6"/>
  <c r="F236" i="6" s="1"/>
  <c r="C125" i="1" s="1"/>
  <c r="B125" i="1" s="1"/>
  <c r="G234" i="6"/>
  <c r="D123" i="1" s="1"/>
  <c r="A238" i="6"/>
  <c r="C238" i="6" s="1"/>
  <c r="H238" i="6" s="1"/>
  <c r="I238" i="6" s="1"/>
  <c r="D238" i="6" s="1"/>
  <c r="E238" i="6" s="1"/>
  <c r="T231" i="6" l="1"/>
  <c r="L234" i="6"/>
  <c r="L235" i="6"/>
  <c r="R232" i="6"/>
  <c r="F121" i="1" s="1"/>
  <c r="N232" i="6"/>
  <c r="N233" i="6"/>
  <c r="O233" i="6"/>
  <c r="Q233" i="6"/>
  <c r="E122" i="1" s="1"/>
  <c r="Q232" i="6"/>
  <c r="E121" i="1" s="1"/>
  <c r="O232" i="6"/>
  <c r="R233" i="6"/>
  <c r="F122" i="1" s="1"/>
  <c r="Q234" i="6"/>
  <c r="E123" i="1" s="1"/>
  <c r="M234" i="6"/>
  <c r="N234" i="6"/>
  <c r="O234" i="6"/>
  <c r="R234" i="6"/>
  <c r="F123" i="1" s="1"/>
  <c r="K235" i="6"/>
  <c r="K236" i="6"/>
  <c r="D126" i="1"/>
  <c r="F237" i="6"/>
  <c r="C126" i="1" s="1"/>
  <c r="B126" i="1" s="1"/>
  <c r="E236" i="6"/>
  <c r="G236" i="6" s="1"/>
  <c r="D125" i="1" s="1"/>
  <c r="F238" i="6"/>
  <c r="C127" i="1" s="1"/>
  <c r="T234" i="6" l="1"/>
  <c r="T232" i="6"/>
  <c r="T233" i="6"/>
  <c r="B1" i="1"/>
  <c r="B127" i="1"/>
  <c r="L236" i="6"/>
  <c r="L237" i="6"/>
  <c r="N236" i="6"/>
  <c r="M236" i="6"/>
  <c r="Q235" i="6"/>
  <c r="E124" i="1" s="1"/>
  <c r="M235" i="6"/>
  <c r="R235" i="6"/>
  <c r="F124" i="1" s="1"/>
  <c r="Q236" i="6"/>
  <c r="E125" i="1" s="1"/>
  <c r="O235" i="6"/>
  <c r="R236" i="6"/>
  <c r="F125" i="1" s="1"/>
  <c r="O236" i="6"/>
  <c r="N235" i="6"/>
  <c r="K237" i="6"/>
  <c r="K238" i="6"/>
  <c r="G238" i="6"/>
  <c r="D127" i="1" s="1"/>
  <c r="L32" i="1" l="1"/>
  <c r="K33" i="1"/>
  <c r="K37" i="1"/>
  <c r="K41" i="1"/>
  <c r="K45" i="1"/>
  <c r="J30" i="1"/>
  <c r="B3" i="15" s="1"/>
  <c r="J34" i="1"/>
  <c r="J38" i="1"/>
  <c r="J42" i="1"/>
  <c r="J46" i="1"/>
  <c r="I35" i="1"/>
  <c r="I39" i="1"/>
  <c r="I47" i="1"/>
  <c r="L33" i="1"/>
  <c r="L37" i="1"/>
  <c r="L41" i="1"/>
  <c r="L45" i="1"/>
  <c r="I31" i="1"/>
  <c r="A4" i="15" s="1"/>
  <c r="AS3" i="15" s="1"/>
  <c r="I43" i="1"/>
  <c r="L30" i="1"/>
  <c r="K31" i="1"/>
  <c r="K35" i="1"/>
  <c r="K39" i="1"/>
  <c r="K43" i="1"/>
  <c r="K47" i="1"/>
  <c r="J32" i="1"/>
  <c r="B5" i="15" s="1"/>
  <c r="J36" i="1"/>
  <c r="J40" i="1"/>
  <c r="J44" i="1"/>
  <c r="I29" i="1"/>
  <c r="A2" i="15" s="1"/>
  <c r="L31" i="1"/>
  <c r="L38" i="1"/>
  <c r="L44" i="1"/>
  <c r="L29" i="1"/>
  <c r="J35" i="1"/>
  <c r="J41" i="1"/>
  <c r="K32" i="1"/>
  <c r="L39" i="1"/>
  <c r="K46" i="1"/>
  <c r="K29" i="1"/>
  <c r="I36" i="1"/>
  <c r="I42" i="1"/>
  <c r="K34" i="1"/>
  <c r="K40" i="1"/>
  <c r="L46" i="1"/>
  <c r="I30" i="1"/>
  <c r="A3" i="15" s="1"/>
  <c r="I37" i="1"/>
  <c r="J43" i="1"/>
  <c r="L35" i="1"/>
  <c r="K42" i="1"/>
  <c r="I32" i="1"/>
  <c r="A5" i="15" s="1"/>
  <c r="I38" i="1"/>
  <c r="I45" i="1"/>
  <c r="J29" i="1"/>
  <c r="B2" i="15" s="1"/>
  <c r="K36" i="1"/>
  <c r="L42" i="1"/>
  <c r="I33" i="1"/>
  <c r="A6" i="15" s="1"/>
  <c r="J39" i="1"/>
  <c r="J45" i="1"/>
  <c r="L36" i="1"/>
  <c r="L43" i="1"/>
  <c r="J33" i="1"/>
  <c r="B6" i="15" s="1"/>
  <c r="I40" i="1"/>
  <c r="I46" i="1"/>
  <c r="K38" i="1"/>
  <c r="K44" i="1"/>
  <c r="I34" i="1"/>
  <c r="I41" i="1"/>
  <c r="K30" i="1"/>
  <c r="L34" i="1"/>
  <c r="L40" i="1"/>
  <c r="J31" i="1"/>
  <c r="B4" i="15" s="1"/>
  <c r="L47" i="1"/>
  <c r="J37" i="1"/>
  <c r="I44" i="1"/>
  <c r="J47" i="1"/>
  <c r="P78" i="13"/>
  <c r="E3" i="1"/>
  <c r="F3" i="1"/>
  <c r="T236" i="6"/>
  <c r="T235" i="6"/>
  <c r="B128" i="1"/>
  <c r="P141" i="6"/>
  <c r="P149" i="6"/>
  <c r="P157" i="6"/>
  <c r="P165" i="6"/>
  <c r="P173" i="6"/>
  <c r="P181" i="6"/>
  <c r="P189" i="6"/>
  <c r="P197" i="6"/>
  <c r="P205" i="6"/>
  <c r="P213" i="6"/>
  <c r="P221" i="6"/>
  <c r="P229" i="6"/>
  <c r="P237" i="6"/>
  <c r="P142" i="6"/>
  <c r="P150" i="6"/>
  <c r="P158" i="6"/>
  <c r="P166" i="6"/>
  <c r="P174" i="6"/>
  <c r="P182" i="6"/>
  <c r="P190" i="6"/>
  <c r="P198" i="6"/>
  <c r="P206" i="6"/>
  <c r="P214" i="6"/>
  <c r="P222" i="6"/>
  <c r="P230" i="6"/>
  <c r="P238" i="6"/>
  <c r="P143" i="6"/>
  <c r="P151" i="6"/>
  <c r="P159" i="6"/>
  <c r="P167" i="6"/>
  <c r="P175" i="6"/>
  <c r="P183" i="6"/>
  <c r="P191" i="6"/>
  <c r="P199" i="6"/>
  <c r="P207" i="6"/>
  <c r="P215" i="6"/>
  <c r="P223" i="6"/>
  <c r="P231" i="6"/>
  <c r="P140" i="6"/>
  <c r="P144" i="6"/>
  <c r="P152" i="6"/>
  <c r="P160" i="6"/>
  <c r="P168" i="6"/>
  <c r="P176" i="6"/>
  <c r="P184" i="6"/>
  <c r="P192" i="6"/>
  <c r="P200" i="6"/>
  <c r="P208" i="6"/>
  <c r="P216" i="6"/>
  <c r="P224" i="6"/>
  <c r="P232" i="6"/>
  <c r="P145" i="6"/>
  <c r="P153" i="6"/>
  <c r="P161" i="6"/>
  <c r="P169" i="6"/>
  <c r="P177" i="6"/>
  <c r="P185" i="6"/>
  <c r="P193" i="6"/>
  <c r="P201" i="6"/>
  <c r="P209" i="6"/>
  <c r="P217" i="6"/>
  <c r="P225" i="6"/>
  <c r="P233" i="6"/>
  <c r="P146" i="6"/>
  <c r="P154" i="6"/>
  <c r="P162" i="6"/>
  <c r="P170" i="6"/>
  <c r="P178" i="6"/>
  <c r="P186" i="6"/>
  <c r="P194" i="6"/>
  <c r="P202" i="6"/>
  <c r="P210" i="6"/>
  <c r="P218" i="6"/>
  <c r="P226" i="6"/>
  <c r="P234" i="6"/>
  <c r="P148" i="6"/>
  <c r="P156" i="6"/>
  <c r="P164" i="6"/>
  <c r="P172" i="6"/>
  <c r="P180" i="6"/>
  <c r="P188" i="6"/>
  <c r="P196" i="6"/>
  <c r="P204" i="6"/>
  <c r="P212" i="6"/>
  <c r="P220" i="6"/>
  <c r="P228" i="6"/>
  <c r="P236" i="6"/>
  <c r="P147" i="6"/>
  <c r="P211" i="6"/>
  <c r="P155" i="6"/>
  <c r="P219" i="6"/>
  <c r="P163" i="6"/>
  <c r="P227" i="6"/>
  <c r="P195" i="6"/>
  <c r="P171" i="6"/>
  <c r="P235" i="6"/>
  <c r="P179" i="6"/>
  <c r="P187" i="6"/>
  <c r="P203" i="6"/>
  <c r="L238" i="6"/>
  <c r="R238" i="6"/>
  <c r="F127" i="1" s="1"/>
  <c r="M238" i="6"/>
  <c r="Q237" i="6"/>
  <c r="E126" i="1" s="1"/>
  <c r="M237" i="6"/>
  <c r="R237" i="6"/>
  <c r="F126" i="1" s="1"/>
  <c r="N237" i="6"/>
  <c r="O237" i="6"/>
  <c r="N238" i="6"/>
  <c r="Q238" i="6"/>
  <c r="E127" i="1" s="1"/>
  <c r="O238" i="6"/>
  <c r="N30" i="1" l="1"/>
  <c r="N38" i="1"/>
  <c r="N32" i="1"/>
  <c r="N44" i="1"/>
  <c r="K5" i="15"/>
  <c r="AS5" i="15"/>
  <c r="N35" i="1"/>
  <c r="N31" i="1"/>
  <c r="AS6" i="15"/>
  <c r="K6" i="15"/>
  <c r="N42" i="1"/>
  <c r="N46" i="1"/>
  <c r="N45" i="1"/>
  <c r="N41" i="1"/>
  <c r="N36" i="1"/>
  <c r="N40" i="1"/>
  <c r="N47" i="1"/>
  <c r="N37" i="1"/>
  <c r="K4" i="15"/>
  <c r="AS4" i="15"/>
  <c r="N34" i="1"/>
  <c r="N43" i="1"/>
  <c r="N33" i="1"/>
  <c r="N39" i="1"/>
  <c r="G10" i="1"/>
  <c r="G7" i="1"/>
  <c r="G9" i="1"/>
  <c r="H7" i="1" s="1"/>
  <c r="G8" i="1"/>
  <c r="T237" i="6"/>
  <c r="T238" i="6"/>
  <c r="H8" i="1" l="1"/>
  <c r="J9" i="1" s="1"/>
  <c r="B3" i="1" l="1"/>
  <c r="B2" i="13" s="1"/>
  <c r="C40" i="13" s="1"/>
  <c r="E40" i="13" s="1"/>
  <c r="C36" i="13" l="1"/>
  <c r="E36" i="13" s="1"/>
  <c r="E77" i="13" s="1"/>
  <c r="G77" i="13" s="1"/>
  <c r="C38" i="13"/>
  <c r="E38" i="13" s="1"/>
  <c r="B38" i="13"/>
  <c r="D38" i="13" s="1"/>
  <c r="D79" i="13" s="1"/>
  <c r="F79" i="13" s="1"/>
  <c r="C129" i="1" s="1"/>
  <c r="B37" i="13"/>
  <c r="D37" i="13" s="1"/>
  <c r="D78" i="13" s="1"/>
  <c r="F78" i="13" s="1"/>
  <c r="C128" i="1" s="1"/>
  <c r="I48" i="1" s="1"/>
  <c r="B40" i="13"/>
  <c r="D40" i="13" s="1"/>
  <c r="C37" i="13"/>
  <c r="E37" i="13" s="1"/>
  <c r="E78" i="13" s="1"/>
  <c r="G78" i="13" s="1"/>
  <c r="D128" i="1" s="1"/>
  <c r="J48" i="1" s="1"/>
  <c r="C39" i="13"/>
  <c r="E39" i="13" s="1"/>
  <c r="B54" i="13" s="1"/>
  <c r="B39" i="13"/>
  <c r="D39" i="13" s="1"/>
  <c r="B36" i="13"/>
  <c r="D36" i="13" s="1"/>
  <c r="D77" i="13" s="1"/>
  <c r="F77" i="13" s="1"/>
  <c r="E54" i="13" l="1"/>
  <c r="A58" i="13"/>
  <c r="A46" i="13"/>
  <c r="L78" i="13"/>
  <c r="A54" i="13"/>
  <c r="C54" i="13" s="1"/>
  <c r="E46" i="13"/>
  <c r="B58" i="13"/>
  <c r="E50" i="13"/>
  <c r="E79" i="13"/>
  <c r="G79" i="13" s="1"/>
  <c r="D129" i="1" s="1"/>
  <c r="L79" i="13" s="1"/>
  <c r="A50" i="13"/>
  <c r="B46" i="13"/>
  <c r="C46" i="13" s="1"/>
  <c r="E58" i="13"/>
  <c r="B50" i="13"/>
  <c r="K79" i="13"/>
  <c r="B129" i="1"/>
  <c r="K78" i="13"/>
  <c r="I49" i="1" l="1"/>
  <c r="J49" i="1"/>
  <c r="C58" i="13"/>
  <c r="D58" i="13" s="1"/>
  <c r="C50" i="13"/>
  <c r="B71" i="13" s="1"/>
  <c r="M78" i="13"/>
  <c r="N78" i="13" s="1"/>
  <c r="O78" i="13"/>
  <c r="D46" i="13"/>
  <c r="D54" i="13"/>
  <c r="C62" i="13"/>
  <c r="O79" i="13"/>
  <c r="P79" i="13" s="1"/>
  <c r="M79" i="13"/>
  <c r="N79" i="13" s="1"/>
  <c r="B69" i="13" l="1"/>
  <c r="D50" i="13"/>
  <c r="B65" i="13" s="1"/>
  <c r="D65" i="13" s="1"/>
  <c r="B66" i="13" s="1"/>
  <c r="B67" i="13"/>
  <c r="D67" i="13" s="1"/>
  <c r="B68" i="13" s="1"/>
  <c r="C81" i="13" s="1"/>
  <c r="H81" i="13" s="1"/>
  <c r="I81" i="13" s="1"/>
  <c r="R78" i="13"/>
  <c r="F128" i="1" s="1"/>
  <c r="L48" i="1" s="1"/>
  <c r="Q78" i="13"/>
  <c r="E128" i="1" s="1"/>
  <c r="R79" i="13"/>
  <c r="F129" i="1" s="1"/>
  <c r="L49" i="1" s="1"/>
  <c r="D62" i="13"/>
  <c r="B70" i="13"/>
  <c r="B72" i="13"/>
  <c r="Q79" i="13"/>
  <c r="E129" i="1" s="1"/>
  <c r="K49" i="1" l="1"/>
  <c r="K48" i="1"/>
  <c r="C169" i="13"/>
  <c r="H169" i="13" s="1"/>
  <c r="I169" i="13" s="1"/>
  <c r="D169" i="13" s="1"/>
  <c r="F169" i="13" s="1"/>
  <c r="C121" i="13"/>
  <c r="H121" i="13" s="1"/>
  <c r="I121" i="13" s="1"/>
  <c r="D121" i="13" s="1"/>
  <c r="F121" i="13" s="1"/>
  <c r="C105" i="13"/>
  <c r="H105" i="13" s="1"/>
  <c r="I105" i="13" s="1"/>
  <c r="D105" i="13" s="1"/>
  <c r="F105" i="13" s="1"/>
  <c r="C166" i="13"/>
  <c r="H166" i="13" s="1"/>
  <c r="I166" i="13" s="1"/>
  <c r="D166" i="13" s="1"/>
  <c r="F166" i="13" s="1"/>
  <c r="C150" i="13"/>
  <c r="H150" i="13" s="1"/>
  <c r="I150" i="13" s="1"/>
  <c r="D150" i="13" s="1"/>
  <c r="F150" i="13" s="1"/>
  <c r="C134" i="13"/>
  <c r="H134" i="13" s="1"/>
  <c r="I134" i="13" s="1"/>
  <c r="D134" i="13" s="1"/>
  <c r="F134" i="13" s="1"/>
  <c r="C118" i="13"/>
  <c r="H118" i="13" s="1"/>
  <c r="I118" i="13" s="1"/>
  <c r="D118" i="13" s="1"/>
  <c r="F118" i="13" s="1"/>
  <c r="C102" i="13"/>
  <c r="H102" i="13" s="1"/>
  <c r="I102" i="13" s="1"/>
  <c r="D102" i="13" s="1"/>
  <c r="F102" i="13" s="1"/>
  <c r="C89" i="13"/>
  <c r="H89" i="13" s="1"/>
  <c r="I89" i="13" s="1"/>
  <c r="D89" i="13" s="1"/>
  <c r="F89" i="13" s="1"/>
  <c r="C165" i="13"/>
  <c r="H165" i="13" s="1"/>
  <c r="I165" i="13" s="1"/>
  <c r="D165" i="13" s="1"/>
  <c r="F165" i="13" s="1"/>
  <c r="C149" i="13"/>
  <c r="H149" i="13" s="1"/>
  <c r="I149" i="13" s="1"/>
  <c r="D149" i="13" s="1"/>
  <c r="F149" i="13" s="1"/>
  <c r="C133" i="13"/>
  <c r="H133" i="13" s="1"/>
  <c r="I133" i="13" s="1"/>
  <c r="D133" i="13" s="1"/>
  <c r="F133" i="13" s="1"/>
  <c r="C117" i="13"/>
  <c r="H117" i="13" s="1"/>
  <c r="I117" i="13" s="1"/>
  <c r="D117" i="13" s="1"/>
  <c r="F117" i="13" s="1"/>
  <c r="C101" i="13"/>
  <c r="H101" i="13" s="1"/>
  <c r="I101" i="13" s="1"/>
  <c r="D101" i="13" s="1"/>
  <c r="F101" i="13" s="1"/>
  <c r="C82" i="13"/>
  <c r="H82" i="13" s="1"/>
  <c r="I82" i="13" s="1"/>
  <c r="D82" i="13" s="1"/>
  <c r="F82" i="13" s="1"/>
  <c r="C153" i="13"/>
  <c r="H153" i="13" s="1"/>
  <c r="I153" i="13" s="1"/>
  <c r="D153" i="13" s="1"/>
  <c r="F153" i="13" s="1"/>
  <c r="C98" i="13"/>
  <c r="H98" i="13" s="1"/>
  <c r="I98" i="13" s="1"/>
  <c r="D98" i="13" s="1"/>
  <c r="F98" i="13" s="1"/>
  <c r="C162" i="13"/>
  <c r="H162" i="13" s="1"/>
  <c r="I162" i="13" s="1"/>
  <c r="D162" i="13" s="1"/>
  <c r="F162" i="13" s="1"/>
  <c r="C146" i="13"/>
  <c r="H146" i="13" s="1"/>
  <c r="I146" i="13" s="1"/>
  <c r="D146" i="13" s="1"/>
  <c r="F146" i="13" s="1"/>
  <c r="C130" i="13"/>
  <c r="H130" i="13" s="1"/>
  <c r="I130" i="13" s="1"/>
  <c r="D130" i="13" s="1"/>
  <c r="F130" i="13" s="1"/>
  <c r="C114" i="13"/>
  <c r="H114" i="13" s="1"/>
  <c r="I114" i="13" s="1"/>
  <c r="D114" i="13" s="1"/>
  <c r="F114" i="13" s="1"/>
  <c r="C93" i="13"/>
  <c r="H93" i="13" s="1"/>
  <c r="I93" i="13" s="1"/>
  <c r="D93" i="13" s="1"/>
  <c r="F93" i="13" s="1"/>
  <c r="C94" i="13"/>
  <c r="H94" i="13" s="1"/>
  <c r="I94" i="13" s="1"/>
  <c r="D94" i="13" s="1"/>
  <c r="F94" i="13" s="1"/>
  <c r="C145" i="13"/>
  <c r="H145" i="13" s="1"/>
  <c r="I145" i="13" s="1"/>
  <c r="D145" i="13" s="1"/>
  <c r="F145" i="13" s="1"/>
  <c r="C129" i="13"/>
  <c r="H129" i="13" s="1"/>
  <c r="I129" i="13" s="1"/>
  <c r="D129" i="13" s="1"/>
  <c r="F129" i="13" s="1"/>
  <c r="C113" i="13"/>
  <c r="H113" i="13" s="1"/>
  <c r="I113" i="13" s="1"/>
  <c r="D113" i="13" s="1"/>
  <c r="F113" i="13" s="1"/>
  <c r="C97" i="13"/>
  <c r="H97" i="13" s="1"/>
  <c r="I97" i="13" s="1"/>
  <c r="C174" i="13"/>
  <c r="H174" i="13" s="1"/>
  <c r="I174" i="13" s="1"/>
  <c r="D174" i="13" s="1"/>
  <c r="F174" i="13" s="1"/>
  <c r="C158" i="13"/>
  <c r="H158" i="13" s="1"/>
  <c r="I158" i="13" s="1"/>
  <c r="D158" i="13" s="1"/>
  <c r="F158" i="13" s="1"/>
  <c r="C142" i="13"/>
  <c r="H142" i="13" s="1"/>
  <c r="I142" i="13" s="1"/>
  <c r="D142" i="13" s="1"/>
  <c r="F142" i="13" s="1"/>
  <c r="C126" i="13"/>
  <c r="H126" i="13" s="1"/>
  <c r="I126" i="13" s="1"/>
  <c r="D126" i="13" s="1"/>
  <c r="F126" i="13" s="1"/>
  <c r="C110" i="13"/>
  <c r="H110" i="13" s="1"/>
  <c r="I110" i="13" s="1"/>
  <c r="D110" i="13" s="1"/>
  <c r="F110" i="13" s="1"/>
  <c r="C86" i="13"/>
  <c r="H86" i="13" s="1"/>
  <c r="I86" i="13" s="1"/>
  <c r="D86" i="13" s="1"/>
  <c r="F86" i="13" s="1"/>
  <c r="C137" i="13"/>
  <c r="H137" i="13" s="1"/>
  <c r="I137" i="13" s="1"/>
  <c r="D137" i="13" s="1"/>
  <c r="F137" i="13" s="1"/>
  <c r="C173" i="13"/>
  <c r="H173" i="13" s="1"/>
  <c r="I173" i="13" s="1"/>
  <c r="D173" i="13" s="1"/>
  <c r="F173" i="13" s="1"/>
  <c r="C157" i="13"/>
  <c r="H157" i="13" s="1"/>
  <c r="I157" i="13" s="1"/>
  <c r="D157" i="13" s="1"/>
  <c r="F157" i="13" s="1"/>
  <c r="C141" i="13"/>
  <c r="H141" i="13" s="1"/>
  <c r="I141" i="13" s="1"/>
  <c r="D141" i="13" s="1"/>
  <c r="F141" i="13" s="1"/>
  <c r="C125" i="13"/>
  <c r="H125" i="13" s="1"/>
  <c r="I125" i="13" s="1"/>
  <c r="D125" i="13" s="1"/>
  <c r="F125" i="13" s="1"/>
  <c r="C109" i="13"/>
  <c r="H109" i="13" s="1"/>
  <c r="I109" i="13" s="1"/>
  <c r="D109" i="13" s="1"/>
  <c r="F109" i="13" s="1"/>
  <c r="C90" i="13"/>
  <c r="H90" i="13" s="1"/>
  <c r="I90" i="13" s="1"/>
  <c r="D90" i="13" s="1"/>
  <c r="F90" i="13" s="1"/>
  <c r="C161" i="13"/>
  <c r="H161" i="13" s="1"/>
  <c r="I161" i="13" s="1"/>
  <c r="D161" i="13" s="1"/>
  <c r="F161" i="13" s="1"/>
  <c r="C85" i="13"/>
  <c r="H85" i="13" s="1"/>
  <c r="I85" i="13" s="1"/>
  <c r="D85" i="13" s="1"/>
  <c r="F85" i="13" s="1"/>
  <c r="C170" i="13"/>
  <c r="H170" i="13" s="1"/>
  <c r="I170" i="13" s="1"/>
  <c r="D170" i="13" s="1"/>
  <c r="F170" i="13" s="1"/>
  <c r="C154" i="13"/>
  <c r="H154" i="13" s="1"/>
  <c r="I154" i="13" s="1"/>
  <c r="D154" i="13" s="1"/>
  <c r="F154" i="13" s="1"/>
  <c r="C138" i="13"/>
  <c r="H138" i="13" s="1"/>
  <c r="I138" i="13" s="1"/>
  <c r="D138" i="13" s="1"/>
  <c r="F138" i="13" s="1"/>
  <c r="C122" i="13"/>
  <c r="H122" i="13" s="1"/>
  <c r="I122" i="13" s="1"/>
  <c r="D122" i="13" s="1"/>
  <c r="F122" i="13" s="1"/>
  <c r="C106" i="13"/>
  <c r="H106" i="13" s="1"/>
  <c r="I106" i="13" s="1"/>
  <c r="D106" i="13" s="1"/>
  <c r="F106" i="13" s="1"/>
  <c r="T79" i="13"/>
  <c r="D81" i="13"/>
  <c r="F81" i="13" s="1"/>
  <c r="C96" i="13"/>
  <c r="H96" i="13" s="1"/>
  <c r="I96" i="13" s="1"/>
  <c r="C80" i="13"/>
  <c r="H80" i="13" s="1"/>
  <c r="I80" i="13" s="1"/>
  <c r="C95" i="13"/>
  <c r="H95" i="13" s="1"/>
  <c r="I95" i="13" s="1"/>
  <c r="C92" i="13"/>
  <c r="H92" i="13" s="1"/>
  <c r="I92" i="13" s="1"/>
  <c r="C88" i="13"/>
  <c r="H88" i="13" s="1"/>
  <c r="I88" i="13" s="1"/>
  <c r="C84" i="13"/>
  <c r="H84" i="13" s="1"/>
  <c r="I84" i="13" s="1"/>
  <c r="C87" i="13"/>
  <c r="H87" i="13" s="1"/>
  <c r="I87" i="13" s="1"/>
  <c r="C83" i="13"/>
  <c r="H83" i="13" s="1"/>
  <c r="I83" i="13" s="1"/>
  <c r="C91" i="13"/>
  <c r="H91" i="13" s="1"/>
  <c r="I91" i="13" s="1"/>
  <c r="C99" i="13"/>
  <c r="H99" i="13" s="1"/>
  <c r="I99" i="13" s="1"/>
  <c r="C100" i="13"/>
  <c r="H100" i="13" s="1"/>
  <c r="I100" i="13" s="1"/>
  <c r="C103" i="13"/>
  <c r="H103" i="13" s="1"/>
  <c r="I103" i="13" s="1"/>
  <c r="C104" i="13"/>
  <c r="H104" i="13" s="1"/>
  <c r="I104" i="13" s="1"/>
  <c r="C107" i="13"/>
  <c r="H107" i="13" s="1"/>
  <c r="I107" i="13" s="1"/>
  <c r="C108" i="13"/>
  <c r="H108" i="13" s="1"/>
  <c r="I108" i="13" s="1"/>
  <c r="C111" i="13"/>
  <c r="H111" i="13" s="1"/>
  <c r="I111" i="13" s="1"/>
  <c r="C112" i="13"/>
  <c r="H112" i="13" s="1"/>
  <c r="I112" i="13" s="1"/>
  <c r="C115" i="13"/>
  <c r="H115" i="13" s="1"/>
  <c r="I115" i="13" s="1"/>
  <c r="C116" i="13"/>
  <c r="H116" i="13" s="1"/>
  <c r="I116" i="13" s="1"/>
  <c r="C119" i="13"/>
  <c r="H119" i="13" s="1"/>
  <c r="I119" i="13" s="1"/>
  <c r="C120" i="13"/>
  <c r="H120" i="13" s="1"/>
  <c r="I120" i="13" s="1"/>
  <c r="C123" i="13"/>
  <c r="H123" i="13" s="1"/>
  <c r="I123" i="13" s="1"/>
  <c r="C124" i="13"/>
  <c r="H124" i="13" s="1"/>
  <c r="I124" i="13" s="1"/>
  <c r="C127" i="13"/>
  <c r="H127" i="13" s="1"/>
  <c r="I127" i="13" s="1"/>
  <c r="C128" i="13"/>
  <c r="H128" i="13" s="1"/>
  <c r="I128" i="13" s="1"/>
  <c r="C131" i="13"/>
  <c r="H131" i="13" s="1"/>
  <c r="I131" i="13" s="1"/>
  <c r="C132" i="13"/>
  <c r="H132" i="13" s="1"/>
  <c r="I132" i="13" s="1"/>
  <c r="C135" i="13"/>
  <c r="H135" i="13" s="1"/>
  <c r="I135" i="13" s="1"/>
  <c r="C136" i="13"/>
  <c r="H136" i="13" s="1"/>
  <c r="I136" i="13" s="1"/>
  <c r="C139" i="13"/>
  <c r="H139" i="13" s="1"/>
  <c r="I139" i="13" s="1"/>
  <c r="C140" i="13"/>
  <c r="H140" i="13" s="1"/>
  <c r="I140" i="13" s="1"/>
  <c r="C143" i="13"/>
  <c r="H143" i="13" s="1"/>
  <c r="I143" i="13" s="1"/>
  <c r="C144" i="13"/>
  <c r="H144" i="13" s="1"/>
  <c r="I144" i="13" s="1"/>
  <c r="C147" i="13"/>
  <c r="H147" i="13" s="1"/>
  <c r="I147" i="13" s="1"/>
  <c r="C148" i="13"/>
  <c r="H148" i="13" s="1"/>
  <c r="I148" i="13" s="1"/>
  <c r="C151" i="13"/>
  <c r="H151" i="13" s="1"/>
  <c r="I151" i="13" s="1"/>
  <c r="C152" i="13"/>
  <c r="H152" i="13" s="1"/>
  <c r="I152" i="13" s="1"/>
  <c r="C155" i="13"/>
  <c r="H155" i="13" s="1"/>
  <c r="I155" i="13" s="1"/>
  <c r="C156" i="13"/>
  <c r="H156" i="13" s="1"/>
  <c r="I156" i="13" s="1"/>
  <c r="C159" i="13"/>
  <c r="H159" i="13" s="1"/>
  <c r="I159" i="13" s="1"/>
  <c r="C160" i="13"/>
  <c r="H160" i="13" s="1"/>
  <c r="I160" i="13" s="1"/>
  <c r="C163" i="13"/>
  <c r="H163" i="13" s="1"/>
  <c r="I163" i="13" s="1"/>
  <c r="C164" i="13"/>
  <c r="H164" i="13" s="1"/>
  <c r="I164" i="13" s="1"/>
  <c r="C167" i="13"/>
  <c r="H167" i="13" s="1"/>
  <c r="I167" i="13" s="1"/>
  <c r="C168" i="13"/>
  <c r="H168" i="13" s="1"/>
  <c r="I168" i="13" s="1"/>
  <c r="C171" i="13"/>
  <c r="H171" i="13" s="1"/>
  <c r="I171" i="13" s="1"/>
  <c r="C172" i="13"/>
  <c r="H172" i="13" s="1"/>
  <c r="I172" i="13" s="1"/>
  <c r="C175" i="13"/>
  <c r="H175" i="13" s="1"/>
  <c r="I175" i="13" s="1"/>
  <c r="D225" i="1" s="1"/>
  <c r="T78" i="13"/>
  <c r="D97" i="13"/>
  <c r="F97" i="13" s="1"/>
  <c r="C212" i="1" l="1"/>
  <c r="B212" i="1" s="1"/>
  <c r="C208" i="1"/>
  <c r="K158" i="13" s="1"/>
  <c r="C192" i="1"/>
  <c r="L175" i="13"/>
  <c r="C220" i="1"/>
  <c r="K170" i="13" s="1"/>
  <c r="C205" i="1"/>
  <c r="B205" i="1" s="1"/>
  <c r="D188" i="1"/>
  <c r="L138" i="13" s="1"/>
  <c r="C196" i="1"/>
  <c r="B196" i="1" s="1"/>
  <c r="C135" i="1"/>
  <c r="K85" i="13" s="1"/>
  <c r="C147" i="1"/>
  <c r="K97" i="13" s="1"/>
  <c r="C163" i="1"/>
  <c r="K113" i="13" s="1"/>
  <c r="E129" i="13"/>
  <c r="G129" i="13" s="1"/>
  <c r="D179" i="1" s="1"/>
  <c r="L129" i="13" s="1"/>
  <c r="E166" i="13"/>
  <c r="G166" i="13" s="1"/>
  <c r="E173" i="13"/>
  <c r="G173" i="13" s="1"/>
  <c r="D197" i="1"/>
  <c r="L147" i="13" s="1"/>
  <c r="E117" i="13"/>
  <c r="G117" i="13" s="1"/>
  <c r="D167" i="1" s="1"/>
  <c r="L117" i="13" s="1"/>
  <c r="E106" i="13"/>
  <c r="G106" i="13" s="1"/>
  <c r="D156" i="1" s="1"/>
  <c r="L106" i="13" s="1"/>
  <c r="E142" i="13"/>
  <c r="G142" i="13" s="1"/>
  <c r="C143" i="1"/>
  <c r="K93" i="13" s="1"/>
  <c r="E141" i="13"/>
  <c r="G141" i="13" s="1"/>
  <c r="E162" i="13"/>
  <c r="G162" i="13" s="1"/>
  <c r="E134" i="13"/>
  <c r="G134" i="13" s="1"/>
  <c r="E114" i="13"/>
  <c r="G114" i="13" s="1"/>
  <c r="D164" i="1" s="1"/>
  <c r="L114" i="13" s="1"/>
  <c r="D213" i="1"/>
  <c r="L163" i="13" s="1"/>
  <c r="C164" i="1"/>
  <c r="K114" i="13" s="1"/>
  <c r="C180" i="1"/>
  <c r="K130" i="13" s="1"/>
  <c r="B192" i="1"/>
  <c r="K142" i="13"/>
  <c r="D218" i="1"/>
  <c r="L168" i="13" s="1"/>
  <c r="C219" i="1"/>
  <c r="D168" i="13"/>
  <c r="F168" i="13" s="1"/>
  <c r="D219" i="1"/>
  <c r="L169" i="13" s="1"/>
  <c r="C218" i="1"/>
  <c r="D120" i="13"/>
  <c r="F120" i="13" s="1"/>
  <c r="C170" i="1" s="1"/>
  <c r="K120" i="13" s="1"/>
  <c r="E85" i="13"/>
  <c r="G85" i="13" s="1"/>
  <c r="D135" i="1" s="1"/>
  <c r="L85" i="13" s="1"/>
  <c r="E161" i="13"/>
  <c r="G161" i="13" s="1"/>
  <c r="D167" i="13"/>
  <c r="F167" i="13" s="1"/>
  <c r="D151" i="13"/>
  <c r="F151" i="13" s="1"/>
  <c r="D135" i="13"/>
  <c r="F135" i="13" s="1"/>
  <c r="D119" i="13"/>
  <c r="F119" i="13" s="1"/>
  <c r="C169" i="1" s="1"/>
  <c r="K119" i="13" s="1"/>
  <c r="D103" i="13"/>
  <c r="F103" i="13" s="1"/>
  <c r="C153" i="1" s="1"/>
  <c r="K103" i="13" s="1"/>
  <c r="D92" i="13"/>
  <c r="F92" i="13" s="1"/>
  <c r="C142" i="1" s="1"/>
  <c r="K92" i="13" s="1"/>
  <c r="E93" i="13"/>
  <c r="G93" i="13" s="1"/>
  <c r="D143" i="1" s="1"/>
  <c r="L93" i="13" s="1"/>
  <c r="E130" i="13"/>
  <c r="G130" i="13" s="1"/>
  <c r="D180" i="1" s="1"/>
  <c r="L130" i="13" s="1"/>
  <c r="E82" i="13"/>
  <c r="G82" i="13" s="1"/>
  <c r="D132" i="1" s="1"/>
  <c r="L82" i="13" s="1"/>
  <c r="E149" i="13"/>
  <c r="G149" i="13" s="1"/>
  <c r="E105" i="13"/>
  <c r="G105" i="13" s="1"/>
  <c r="D155" i="1" s="1"/>
  <c r="L105" i="13" s="1"/>
  <c r="E169" i="13"/>
  <c r="G169" i="13" s="1"/>
  <c r="E81" i="13"/>
  <c r="G81" i="13" s="1"/>
  <c r="D131" i="1" s="1"/>
  <c r="L81" i="13" s="1"/>
  <c r="E122" i="13"/>
  <c r="G122" i="13" s="1"/>
  <c r="D172" i="1" s="1"/>
  <c r="L122" i="13" s="1"/>
  <c r="E154" i="13"/>
  <c r="G154" i="13" s="1"/>
  <c r="D221" i="1"/>
  <c r="L171" i="13" s="1"/>
  <c r="E109" i="13"/>
  <c r="G109" i="13" s="1"/>
  <c r="D159" i="1" s="1"/>
  <c r="L109" i="13" s="1"/>
  <c r="D192" i="1"/>
  <c r="L142" i="13" s="1"/>
  <c r="D198" i="1"/>
  <c r="L148" i="13" s="1"/>
  <c r="D199" i="1"/>
  <c r="L149" i="13" s="1"/>
  <c r="D148" i="13"/>
  <c r="F148" i="13" s="1"/>
  <c r="C198" i="1"/>
  <c r="C199" i="1"/>
  <c r="D100" i="13"/>
  <c r="F100" i="13" s="1"/>
  <c r="C150" i="1" s="1"/>
  <c r="K100" i="13" s="1"/>
  <c r="C132" i="1"/>
  <c r="K82" i="13" s="1"/>
  <c r="D185" i="1"/>
  <c r="L135" i="13" s="1"/>
  <c r="D200" i="1"/>
  <c r="L150" i="13" s="1"/>
  <c r="C217" i="1"/>
  <c r="C155" i="1"/>
  <c r="K105" i="13" s="1"/>
  <c r="C131" i="1"/>
  <c r="K81" i="13" s="1"/>
  <c r="C172" i="1"/>
  <c r="K122" i="13" s="1"/>
  <c r="D204" i="1"/>
  <c r="L154" i="13" s="1"/>
  <c r="C159" i="1"/>
  <c r="K109" i="13" s="1"/>
  <c r="D215" i="1"/>
  <c r="L165" i="13" s="1"/>
  <c r="D164" i="13"/>
  <c r="F164" i="13" s="1"/>
  <c r="C214" i="1"/>
  <c r="C215" i="1"/>
  <c r="D214" i="1"/>
  <c r="L164" i="13" s="1"/>
  <c r="D132" i="13"/>
  <c r="F132" i="13" s="1"/>
  <c r="D183" i="1"/>
  <c r="L133" i="13" s="1"/>
  <c r="C182" i="1"/>
  <c r="C183" i="1"/>
  <c r="D182" i="1"/>
  <c r="L132" i="13" s="1"/>
  <c r="D116" i="13"/>
  <c r="F116" i="13" s="1"/>
  <c r="C166" i="1" s="1"/>
  <c r="K116" i="13" s="1"/>
  <c r="D95" i="13"/>
  <c r="F95" i="13" s="1"/>
  <c r="C145" i="1" s="1"/>
  <c r="K95" i="13" s="1"/>
  <c r="E113" i="13"/>
  <c r="G113" i="13" s="1"/>
  <c r="D163" i="1" s="1"/>
  <c r="L113" i="13" s="1"/>
  <c r="D163" i="13"/>
  <c r="F163" i="13" s="1"/>
  <c r="D147" i="13"/>
  <c r="F147" i="13" s="1"/>
  <c r="D131" i="13"/>
  <c r="F131" i="13" s="1"/>
  <c r="C181" i="1" s="1"/>
  <c r="K131" i="13" s="1"/>
  <c r="D115" i="13"/>
  <c r="F115" i="13" s="1"/>
  <c r="C165" i="1" s="1"/>
  <c r="K115" i="13" s="1"/>
  <c r="D99" i="13"/>
  <c r="F99" i="13" s="1"/>
  <c r="C149" i="1" s="1"/>
  <c r="K99" i="13" s="1"/>
  <c r="D80" i="13"/>
  <c r="F80" i="13" s="1"/>
  <c r="C130" i="1" s="1"/>
  <c r="E146" i="13"/>
  <c r="G146" i="13" s="1"/>
  <c r="E101" i="13"/>
  <c r="G101" i="13" s="1"/>
  <c r="D151" i="1" s="1"/>
  <c r="L101" i="13" s="1"/>
  <c r="E165" i="13"/>
  <c r="G165" i="13" s="1"/>
  <c r="E102" i="13"/>
  <c r="G102" i="13" s="1"/>
  <c r="D152" i="1" s="1"/>
  <c r="L102" i="13" s="1"/>
  <c r="C200" i="1"/>
  <c r="E157" i="13"/>
  <c r="G157" i="13" s="1"/>
  <c r="E121" i="13"/>
  <c r="G121" i="13" s="1"/>
  <c r="D171" i="1" s="1"/>
  <c r="L121" i="13" s="1"/>
  <c r="E174" i="13"/>
  <c r="G174" i="13" s="1"/>
  <c r="E138" i="13"/>
  <c r="G138" i="13" s="1"/>
  <c r="C204" i="1"/>
  <c r="C221" i="1"/>
  <c r="E125" i="13"/>
  <c r="G125" i="13" s="1"/>
  <c r="D175" i="1" s="1"/>
  <c r="L125" i="13" s="1"/>
  <c r="E86" i="13"/>
  <c r="G86" i="13" s="1"/>
  <c r="D136" i="1" s="1"/>
  <c r="L86" i="13" s="1"/>
  <c r="E126" i="13"/>
  <c r="G126" i="13" s="1"/>
  <c r="D176" i="1" s="1"/>
  <c r="L126" i="13" s="1"/>
  <c r="E158" i="13"/>
  <c r="G158" i="13" s="1"/>
  <c r="D128" i="13"/>
  <c r="F128" i="13" s="1"/>
  <c r="C178" i="1" s="1"/>
  <c r="K128" i="13" s="1"/>
  <c r="C151" i="1"/>
  <c r="K101" i="13" s="1"/>
  <c r="C152" i="1"/>
  <c r="K102" i="13" s="1"/>
  <c r="C185" i="1"/>
  <c r="D201" i="1"/>
  <c r="L151" i="13" s="1"/>
  <c r="C171" i="1"/>
  <c r="K121" i="13" s="1"/>
  <c r="C224" i="1"/>
  <c r="D189" i="1"/>
  <c r="L139" i="13" s="1"/>
  <c r="C175" i="1"/>
  <c r="K125" i="13" s="1"/>
  <c r="C136" i="1"/>
  <c r="K86" i="13" s="1"/>
  <c r="C176" i="1"/>
  <c r="K126" i="13" s="1"/>
  <c r="D143" i="13"/>
  <c r="F143" i="13" s="1"/>
  <c r="D111" i="13"/>
  <c r="F111" i="13" s="1"/>
  <c r="C161" i="1" s="1"/>
  <c r="K111" i="13" s="1"/>
  <c r="C213" i="1"/>
  <c r="D184" i="1"/>
  <c r="L134" i="13" s="1"/>
  <c r="E137" i="13"/>
  <c r="G137" i="13" s="1"/>
  <c r="C189" i="1"/>
  <c r="D205" i="1"/>
  <c r="L155" i="13" s="1"/>
  <c r="C210" i="1"/>
  <c r="C211" i="1"/>
  <c r="D211" i="1"/>
  <c r="L161" i="13" s="1"/>
  <c r="D210" i="1"/>
  <c r="L160" i="13" s="1"/>
  <c r="D160" i="13"/>
  <c r="F160" i="13" s="1"/>
  <c r="D112" i="13"/>
  <c r="F112" i="13" s="1"/>
  <c r="C162" i="1" s="1"/>
  <c r="K112" i="13" s="1"/>
  <c r="D96" i="13"/>
  <c r="F96" i="13" s="1"/>
  <c r="C146" i="1" s="1"/>
  <c r="K96" i="13" s="1"/>
  <c r="D159" i="13"/>
  <c r="F159" i="13" s="1"/>
  <c r="D127" i="13"/>
  <c r="F127" i="13" s="1"/>
  <c r="C177" i="1" s="1"/>
  <c r="K127" i="13" s="1"/>
  <c r="D83" i="13"/>
  <c r="F83" i="13" s="1"/>
  <c r="C133" i="1" s="1"/>
  <c r="K83" i="13" s="1"/>
  <c r="C222" i="1"/>
  <c r="D222" i="1"/>
  <c r="L172" i="13" s="1"/>
  <c r="C223" i="1"/>
  <c r="D172" i="13"/>
  <c r="F172" i="13" s="1"/>
  <c r="D223" i="1"/>
  <c r="L173" i="13" s="1"/>
  <c r="D140" i="13"/>
  <c r="F140" i="13" s="1"/>
  <c r="D191" i="1"/>
  <c r="L141" i="13" s="1"/>
  <c r="C190" i="1"/>
  <c r="C191" i="1"/>
  <c r="D190" i="1"/>
  <c r="L140" i="13" s="1"/>
  <c r="D124" i="13"/>
  <c r="F124" i="13" s="1"/>
  <c r="C174" i="1" s="1"/>
  <c r="K124" i="13" s="1"/>
  <c r="D108" i="13"/>
  <c r="F108" i="13" s="1"/>
  <c r="C158" i="1" s="1"/>
  <c r="K108" i="13" s="1"/>
  <c r="D87" i="13"/>
  <c r="F87" i="13" s="1"/>
  <c r="C137" i="1" s="1"/>
  <c r="K87" i="13" s="1"/>
  <c r="C167" i="1"/>
  <c r="K117" i="13" s="1"/>
  <c r="C184" i="1"/>
  <c r="D216" i="1"/>
  <c r="L166" i="13" s="1"/>
  <c r="C156" i="1"/>
  <c r="K106" i="13" s="1"/>
  <c r="D208" i="1"/>
  <c r="L158" i="13" s="1"/>
  <c r="D195" i="1"/>
  <c r="L145" i="13" s="1"/>
  <c r="D144" i="13"/>
  <c r="F144" i="13" s="1"/>
  <c r="C194" i="1"/>
  <c r="C195" i="1"/>
  <c r="D194" i="1"/>
  <c r="L144" i="13" s="1"/>
  <c r="D91" i="13"/>
  <c r="F91" i="13" s="1"/>
  <c r="C141" i="1" s="1"/>
  <c r="K91" i="13" s="1"/>
  <c r="D175" i="13"/>
  <c r="F175" i="13" s="1"/>
  <c r="C179" i="1"/>
  <c r="K129" i="13" s="1"/>
  <c r="C207" i="1"/>
  <c r="D156" i="13"/>
  <c r="F156" i="13" s="1"/>
  <c r="D207" i="1"/>
  <c r="L157" i="13" s="1"/>
  <c r="D206" i="1"/>
  <c r="L156" i="13" s="1"/>
  <c r="C206" i="1"/>
  <c r="C197" i="1"/>
  <c r="D212" i="1"/>
  <c r="L162" i="13" s="1"/>
  <c r="E97" i="13"/>
  <c r="G97" i="13" s="1"/>
  <c r="D147" i="1" s="1"/>
  <c r="L97" i="13" s="1"/>
  <c r="E145" i="13"/>
  <c r="G145" i="13" s="1"/>
  <c r="D171" i="13"/>
  <c r="F171" i="13" s="1"/>
  <c r="D155" i="13"/>
  <c r="F155" i="13" s="1"/>
  <c r="D139" i="13"/>
  <c r="F139" i="13" s="1"/>
  <c r="D123" i="13"/>
  <c r="F123" i="13" s="1"/>
  <c r="C173" i="1" s="1"/>
  <c r="K123" i="13" s="1"/>
  <c r="D107" i="13"/>
  <c r="F107" i="13" s="1"/>
  <c r="C157" i="1" s="1"/>
  <c r="K107" i="13" s="1"/>
  <c r="D84" i="13"/>
  <c r="F84" i="13" s="1"/>
  <c r="C134" i="1" s="1"/>
  <c r="K84" i="13" s="1"/>
  <c r="E94" i="13"/>
  <c r="G94" i="13" s="1"/>
  <c r="D144" i="1" s="1"/>
  <c r="L94" i="13" s="1"/>
  <c r="D196" i="1"/>
  <c r="L146" i="13" s="1"/>
  <c r="E133" i="13"/>
  <c r="G133" i="13" s="1"/>
  <c r="E89" i="13"/>
  <c r="G89" i="13" s="1"/>
  <c r="D139" i="1" s="1"/>
  <c r="L89" i="13" s="1"/>
  <c r="E118" i="13"/>
  <c r="G118" i="13" s="1"/>
  <c r="D168" i="1" s="1"/>
  <c r="L118" i="13" s="1"/>
  <c r="E150" i="13"/>
  <c r="G150" i="13" s="1"/>
  <c r="C216" i="1"/>
  <c r="E98" i="13"/>
  <c r="G98" i="13" s="1"/>
  <c r="D148" i="1" s="1"/>
  <c r="L98" i="13" s="1"/>
  <c r="E153" i="13"/>
  <c r="G153" i="13" s="1"/>
  <c r="D224" i="1"/>
  <c r="L174" i="13" s="1"/>
  <c r="C188" i="1"/>
  <c r="E170" i="13"/>
  <c r="G170" i="13" s="1"/>
  <c r="E90" i="13"/>
  <c r="G90" i="13" s="1"/>
  <c r="D140" i="1" s="1"/>
  <c r="L90" i="13" s="1"/>
  <c r="E110" i="13"/>
  <c r="G110" i="13" s="1"/>
  <c r="D160" i="1" s="1"/>
  <c r="L110" i="13" s="1"/>
  <c r="D193" i="1"/>
  <c r="L143" i="13" s="1"/>
  <c r="D209" i="1"/>
  <c r="L159" i="13" s="1"/>
  <c r="D203" i="1"/>
  <c r="L153" i="13" s="1"/>
  <c r="C202" i="1"/>
  <c r="C203" i="1"/>
  <c r="D202" i="1"/>
  <c r="L152" i="13" s="1"/>
  <c r="D152" i="13"/>
  <c r="F152" i="13" s="1"/>
  <c r="D187" i="1"/>
  <c r="L137" i="13" s="1"/>
  <c r="D136" i="13"/>
  <c r="F136" i="13" s="1"/>
  <c r="C186" i="1"/>
  <c r="C187" i="1"/>
  <c r="D186" i="1"/>
  <c r="L136" i="13" s="1"/>
  <c r="D104" i="13"/>
  <c r="F104" i="13" s="1"/>
  <c r="C154" i="1" s="1"/>
  <c r="K104" i="13" s="1"/>
  <c r="D88" i="13"/>
  <c r="F88" i="13" s="1"/>
  <c r="C138" i="1" s="1"/>
  <c r="K88" i="13" s="1"/>
  <c r="C144" i="1"/>
  <c r="K94" i="13" s="1"/>
  <c r="C139" i="1"/>
  <c r="K89" i="13" s="1"/>
  <c r="C168" i="1"/>
  <c r="K118" i="13" s="1"/>
  <c r="C201" i="1"/>
  <c r="D217" i="1"/>
  <c r="L167" i="13" s="1"/>
  <c r="C148" i="1"/>
  <c r="K98" i="13" s="1"/>
  <c r="C225" i="1"/>
  <c r="D220" i="1"/>
  <c r="L170" i="13" s="1"/>
  <c r="C140" i="1"/>
  <c r="K90" i="13" s="1"/>
  <c r="C160" i="1"/>
  <c r="K110" i="13" s="1"/>
  <c r="C193" i="1"/>
  <c r="C209" i="1"/>
  <c r="K162" i="13" l="1"/>
  <c r="N162" i="13" s="1"/>
  <c r="K146" i="13"/>
  <c r="M146" i="13" s="1"/>
  <c r="B208" i="1"/>
  <c r="M97" i="13"/>
  <c r="N97" i="13" s="1"/>
  <c r="M122" i="13"/>
  <c r="N122" i="13" s="1"/>
  <c r="M82" i="13"/>
  <c r="N82" i="13" s="1"/>
  <c r="M109" i="13"/>
  <c r="N109" i="13" s="1"/>
  <c r="M113" i="13"/>
  <c r="N113" i="13" s="1"/>
  <c r="B220" i="1"/>
  <c r="M130" i="13"/>
  <c r="N130" i="13" s="1"/>
  <c r="K155" i="13"/>
  <c r="O130" i="13"/>
  <c r="M93" i="13"/>
  <c r="N93" i="13" s="1"/>
  <c r="M105" i="13"/>
  <c r="N105" i="13" s="1"/>
  <c r="M125" i="13"/>
  <c r="N125" i="13" s="1"/>
  <c r="M85" i="13"/>
  <c r="N85" i="13" s="1"/>
  <c r="O114" i="13"/>
  <c r="O113" i="13"/>
  <c r="R113" i="13" s="1"/>
  <c r="E116" i="13"/>
  <c r="G116" i="13" s="1"/>
  <c r="D166" i="1" s="1"/>
  <c r="L116" i="13" s="1"/>
  <c r="M116" i="13" s="1"/>
  <c r="N116" i="13" s="1"/>
  <c r="E140" i="13"/>
  <c r="G140" i="13" s="1"/>
  <c r="O85" i="13"/>
  <c r="E99" i="13"/>
  <c r="G99" i="13" s="1"/>
  <c r="D149" i="1" s="1"/>
  <c r="L99" i="13" s="1"/>
  <c r="M99" i="13" s="1"/>
  <c r="N99" i="13" s="1"/>
  <c r="M81" i="13"/>
  <c r="N81" i="13" s="1"/>
  <c r="O93" i="13"/>
  <c r="E104" i="13"/>
  <c r="G104" i="13" s="1"/>
  <c r="D154" i="1" s="1"/>
  <c r="L104" i="13" s="1"/>
  <c r="M104" i="13" s="1"/>
  <c r="N104" i="13" s="1"/>
  <c r="E87" i="13"/>
  <c r="G87" i="13" s="1"/>
  <c r="D137" i="1" s="1"/>
  <c r="L87" i="13" s="1"/>
  <c r="M87" i="13" s="1"/>
  <c r="N87" i="13" s="1"/>
  <c r="M114" i="13"/>
  <c r="N114" i="13" s="1"/>
  <c r="M90" i="13"/>
  <c r="N90" i="13" s="1"/>
  <c r="E83" i="13"/>
  <c r="G83" i="13" s="1"/>
  <c r="D133" i="1" s="1"/>
  <c r="L83" i="13" s="1"/>
  <c r="M83" i="13" s="1"/>
  <c r="N83" i="13" s="1"/>
  <c r="E144" i="13"/>
  <c r="G144" i="13" s="1"/>
  <c r="E96" i="13"/>
  <c r="G96" i="13" s="1"/>
  <c r="D146" i="1" s="1"/>
  <c r="L96" i="13" s="1"/>
  <c r="M96" i="13" s="1"/>
  <c r="N96" i="13" s="1"/>
  <c r="M98" i="13"/>
  <c r="N98" i="13" s="1"/>
  <c r="M86" i="13"/>
  <c r="N86" i="13" s="1"/>
  <c r="E100" i="13"/>
  <c r="G100" i="13" s="1"/>
  <c r="D150" i="1" s="1"/>
  <c r="L100" i="13" s="1"/>
  <c r="M100" i="13" s="1"/>
  <c r="N100" i="13" s="1"/>
  <c r="M89" i="13"/>
  <c r="N89" i="13" s="1"/>
  <c r="E112" i="13"/>
  <c r="G112" i="13" s="1"/>
  <c r="D162" i="1" s="1"/>
  <c r="L112" i="13" s="1"/>
  <c r="M112" i="13" s="1"/>
  <c r="N112" i="13" s="1"/>
  <c r="M102" i="13"/>
  <c r="N102" i="13" s="1"/>
  <c r="E111" i="13"/>
  <c r="G111" i="13" s="1"/>
  <c r="D161" i="1" s="1"/>
  <c r="L111" i="13" s="1"/>
  <c r="M111" i="13" s="1"/>
  <c r="N111" i="13" s="1"/>
  <c r="E152" i="13"/>
  <c r="G152" i="13" s="1"/>
  <c r="M94" i="13"/>
  <c r="N94" i="13" s="1"/>
  <c r="E155" i="13"/>
  <c r="G155" i="13" s="1"/>
  <c r="E124" i="13"/>
  <c r="G124" i="13" s="1"/>
  <c r="D174" i="1" s="1"/>
  <c r="L124" i="13" s="1"/>
  <c r="M124" i="13" s="1"/>
  <c r="N124" i="13" s="1"/>
  <c r="E159" i="13"/>
  <c r="G159" i="13" s="1"/>
  <c r="M101" i="13"/>
  <c r="N101" i="13" s="1"/>
  <c r="E131" i="13"/>
  <c r="G131" i="13" s="1"/>
  <c r="D181" i="1" s="1"/>
  <c r="L131" i="13" s="1"/>
  <c r="M131" i="13" s="1"/>
  <c r="N131" i="13" s="1"/>
  <c r="E95" i="13"/>
  <c r="G95" i="13" s="1"/>
  <c r="D145" i="1" s="1"/>
  <c r="L95" i="13" s="1"/>
  <c r="M95" i="13" s="1"/>
  <c r="N95" i="13" s="1"/>
  <c r="E84" i="13"/>
  <c r="G84" i="13" s="1"/>
  <c r="D134" i="1" s="1"/>
  <c r="L84" i="13" s="1"/>
  <c r="M84" i="13" s="1"/>
  <c r="N84" i="13" s="1"/>
  <c r="E163" i="13"/>
  <c r="G163" i="13" s="1"/>
  <c r="B209" i="1"/>
  <c r="K159" i="13"/>
  <c r="B186" i="1"/>
  <c r="K136" i="13"/>
  <c r="E107" i="13"/>
  <c r="G107" i="13" s="1"/>
  <c r="D157" i="1" s="1"/>
  <c r="L107" i="13" s="1"/>
  <c r="M107" i="13" s="1"/>
  <c r="N107" i="13" s="1"/>
  <c r="E171" i="13"/>
  <c r="G171" i="13" s="1"/>
  <c r="E175" i="13"/>
  <c r="G175" i="13" s="1"/>
  <c r="M118" i="13"/>
  <c r="N118" i="13" s="1"/>
  <c r="B190" i="1"/>
  <c r="K140" i="13"/>
  <c r="B222" i="1"/>
  <c r="K172" i="13"/>
  <c r="E160" i="13"/>
  <c r="G160" i="13" s="1"/>
  <c r="B185" i="1"/>
  <c r="K135" i="13"/>
  <c r="B221" i="1"/>
  <c r="K171" i="13"/>
  <c r="K80" i="13"/>
  <c r="B130" i="1"/>
  <c r="B214" i="1"/>
  <c r="K164" i="13"/>
  <c r="B217" i="1"/>
  <c r="K167" i="13"/>
  <c r="E119" i="13"/>
  <c r="G119" i="13" s="1"/>
  <c r="D169" i="1" s="1"/>
  <c r="L119" i="13" s="1"/>
  <c r="M119" i="13" s="1"/>
  <c r="N119" i="13" s="1"/>
  <c r="Q142" i="13"/>
  <c r="E192" i="1" s="1"/>
  <c r="M142" i="13"/>
  <c r="R142" i="13"/>
  <c r="F192" i="1" s="1"/>
  <c r="O142" i="13"/>
  <c r="P142" i="13" s="1"/>
  <c r="N142" i="13"/>
  <c r="R146" i="13"/>
  <c r="F196" i="1" s="1"/>
  <c r="Q146" i="13"/>
  <c r="E196" i="1" s="1"/>
  <c r="O146" i="13"/>
  <c r="P146" i="13" s="1"/>
  <c r="N146" i="13"/>
  <c r="E156" i="13"/>
  <c r="G156" i="13" s="1"/>
  <c r="O117" i="13"/>
  <c r="M110" i="13"/>
  <c r="N110" i="13" s="1"/>
  <c r="B213" i="1"/>
  <c r="K163" i="13"/>
  <c r="O126" i="13"/>
  <c r="O102" i="13"/>
  <c r="B204" i="1"/>
  <c r="K154" i="13"/>
  <c r="B183" i="1"/>
  <c r="K133" i="13"/>
  <c r="B225" i="1"/>
  <c r="K175" i="13"/>
  <c r="E123" i="13"/>
  <c r="G123" i="13" s="1"/>
  <c r="D173" i="1" s="1"/>
  <c r="L123" i="13" s="1"/>
  <c r="M123" i="13" s="1"/>
  <c r="N123" i="13" s="1"/>
  <c r="B206" i="1"/>
  <c r="K156" i="13"/>
  <c r="E91" i="13"/>
  <c r="G91" i="13" s="1"/>
  <c r="D141" i="1" s="1"/>
  <c r="L91" i="13" s="1"/>
  <c r="M91" i="13" s="1"/>
  <c r="N91" i="13" s="1"/>
  <c r="O86" i="13"/>
  <c r="O101" i="13"/>
  <c r="B182" i="1"/>
  <c r="K132" i="13"/>
  <c r="E135" i="13"/>
  <c r="G135" i="13" s="1"/>
  <c r="B219" i="1"/>
  <c r="K169" i="13"/>
  <c r="M126" i="13"/>
  <c r="N126" i="13" s="1"/>
  <c r="B216" i="1"/>
  <c r="K166" i="13"/>
  <c r="E172" i="13"/>
  <c r="G172" i="13" s="1"/>
  <c r="O125" i="13"/>
  <c r="O97" i="13"/>
  <c r="E115" i="13"/>
  <c r="G115" i="13" s="1"/>
  <c r="D165" i="1" s="1"/>
  <c r="L115" i="13" s="1"/>
  <c r="M115" i="13" s="1"/>
  <c r="N115" i="13" s="1"/>
  <c r="O109" i="13"/>
  <c r="M121" i="13"/>
  <c r="N121" i="13" s="1"/>
  <c r="E139" i="13"/>
  <c r="G139" i="13" s="1"/>
  <c r="O106" i="13"/>
  <c r="E127" i="13"/>
  <c r="G127" i="13" s="1"/>
  <c r="D177" i="1" s="1"/>
  <c r="L127" i="13" s="1"/>
  <c r="M127" i="13" s="1"/>
  <c r="B211" i="1"/>
  <c r="K161" i="13"/>
  <c r="B189" i="1"/>
  <c r="K139" i="13"/>
  <c r="E143" i="13"/>
  <c r="G143" i="13" s="1"/>
  <c r="M117" i="13"/>
  <c r="N117" i="13" s="1"/>
  <c r="O82" i="13"/>
  <c r="R82" i="13" s="1"/>
  <c r="E92" i="13"/>
  <c r="G92" i="13" s="1"/>
  <c r="D142" i="1" s="1"/>
  <c r="L92" i="13" s="1"/>
  <c r="M92" i="13" s="1"/>
  <c r="N92" i="13" s="1"/>
  <c r="E151" i="13"/>
  <c r="G151" i="13" s="1"/>
  <c r="E120" i="13"/>
  <c r="G120" i="13" s="1"/>
  <c r="D170" i="1" s="1"/>
  <c r="L120" i="13" s="1"/>
  <c r="M120" i="13" s="1"/>
  <c r="M106" i="13"/>
  <c r="N106" i="13" s="1"/>
  <c r="R170" i="13"/>
  <c r="F220" i="1" s="1"/>
  <c r="Q170" i="13"/>
  <c r="E220" i="1" s="1"/>
  <c r="O170" i="13"/>
  <c r="P170" i="13" s="1"/>
  <c r="N170" i="13"/>
  <c r="M170" i="13"/>
  <c r="B201" i="1"/>
  <c r="K151" i="13"/>
  <c r="B197" i="1"/>
  <c r="K147" i="13"/>
  <c r="B210" i="1"/>
  <c r="K160" i="13"/>
  <c r="B224" i="1"/>
  <c r="K174" i="13"/>
  <c r="M129" i="13"/>
  <c r="N129" i="13" s="1"/>
  <c r="E164" i="13"/>
  <c r="G164" i="13" s="1"/>
  <c r="O122" i="13"/>
  <c r="R122" i="13" s="1"/>
  <c r="E148" i="13"/>
  <c r="G148" i="13" s="1"/>
  <c r="R155" i="13"/>
  <c r="F205" i="1" s="1"/>
  <c r="Q155" i="13"/>
  <c r="E205" i="1" s="1"/>
  <c r="O155" i="13"/>
  <c r="P155" i="13" s="1"/>
  <c r="M155" i="13"/>
  <c r="N155" i="13"/>
  <c r="O98" i="13"/>
  <c r="O94" i="13"/>
  <c r="E136" i="13"/>
  <c r="G136" i="13" s="1"/>
  <c r="O118" i="13"/>
  <c r="B188" i="1"/>
  <c r="K138" i="13"/>
  <c r="B207" i="1"/>
  <c r="K157" i="13"/>
  <c r="B195" i="1"/>
  <c r="K145" i="13"/>
  <c r="B223" i="1"/>
  <c r="K173" i="13"/>
  <c r="O121" i="13"/>
  <c r="O81" i="13"/>
  <c r="B199" i="1"/>
  <c r="K149" i="13"/>
  <c r="E103" i="13"/>
  <c r="G103" i="13" s="1"/>
  <c r="D153" i="1" s="1"/>
  <c r="L103" i="13" s="1"/>
  <c r="M103" i="13" s="1"/>
  <c r="N103" i="13" s="1"/>
  <c r="E167" i="13"/>
  <c r="G167" i="13" s="1"/>
  <c r="E168" i="13"/>
  <c r="G168" i="13" s="1"/>
  <c r="Q158" i="13"/>
  <c r="E208" i="1" s="1"/>
  <c r="M158" i="13"/>
  <c r="O158" i="13"/>
  <c r="P158" i="13" s="1"/>
  <c r="N158" i="13"/>
  <c r="R158" i="13"/>
  <c r="F208" i="1" s="1"/>
  <c r="B193" i="1"/>
  <c r="K143" i="13"/>
  <c r="O110" i="13"/>
  <c r="B203" i="1"/>
  <c r="K153" i="13"/>
  <c r="O90" i="13"/>
  <c r="O89" i="13"/>
  <c r="E88" i="13"/>
  <c r="G88" i="13" s="1"/>
  <c r="D138" i="1" s="1"/>
  <c r="L88" i="13" s="1"/>
  <c r="M88" i="13" s="1"/>
  <c r="N88" i="13" s="1"/>
  <c r="B187" i="1"/>
  <c r="K137" i="13"/>
  <c r="B202" i="1"/>
  <c r="K152" i="13"/>
  <c r="O129" i="13"/>
  <c r="B194" i="1"/>
  <c r="K144" i="13"/>
  <c r="B184" i="1"/>
  <c r="K134" i="13"/>
  <c r="E108" i="13"/>
  <c r="G108" i="13" s="1"/>
  <c r="D158" i="1" s="1"/>
  <c r="L108" i="13" s="1"/>
  <c r="M108" i="13" s="1"/>
  <c r="N108" i="13" s="1"/>
  <c r="B191" i="1"/>
  <c r="K141" i="13"/>
  <c r="E128" i="13"/>
  <c r="G128" i="13" s="1"/>
  <c r="D178" i="1" s="1"/>
  <c r="L128" i="13" s="1"/>
  <c r="M128" i="13" s="1"/>
  <c r="N128" i="13" s="1"/>
  <c r="B200" i="1"/>
  <c r="K150" i="13"/>
  <c r="E80" i="13"/>
  <c r="G80" i="13" s="1"/>
  <c r="D130" i="1" s="1"/>
  <c r="L80" i="13" s="1"/>
  <c r="E147" i="13"/>
  <c r="G147" i="13" s="1"/>
  <c r="E132" i="13"/>
  <c r="G132" i="13" s="1"/>
  <c r="B215" i="1"/>
  <c r="K165" i="13"/>
  <c r="O105" i="13"/>
  <c r="B198" i="1"/>
  <c r="K148" i="13"/>
  <c r="B218" i="1"/>
  <c r="K168" i="13"/>
  <c r="R109" i="13" l="1"/>
  <c r="O162" i="13"/>
  <c r="P162" i="13" s="1"/>
  <c r="R162" i="13"/>
  <c r="F212" i="1" s="1"/>
  <c r="Q162" i="13"/>
  <c r="E212" i="1" s="1"/>
  <c r="M162" i="13"/>
  <c r="O96" i="13"/>
  <c r="Q96" i="13" s="1"/>
  <c r="O111" i="13"/>
  <c r="R111" i="13" s="1"/>
  <c r="Q85" i="13"/>
  <c r="Q130" i="13"/>
  <c r="R130" i="13"/>
  <c r="O84" i="13"/>
  <c r="Q84" i="13" s="1"/>
  <c r="J50" i="1"/>
  <c r="I50" i="1"/>
  <c r="O116" i="13"/>
  <c r="Q116" i="13" s="1"/>
  <c r="R129" i="13"/>
  <c r="R125" i="13"/>
  <c r="R89" i="13"/>
  <c r="Q90" i="13"/>
  <c r="O112" i="13"/>
  <c r="R112" i="13" s="1"/>
  <c r="R93" i="13"/>
  <c r="R105" i="13"/>
  <c r="R121" i="13"/>
  <c r="O95" i="13"/>
  <c r="Q95" i="13" s="1"/>
  <c r="M80" i="13"/>
  <c r="N80" i="13" s="1"/>
  <c r="Q93" i="13"/>
  <c r="R94" i="13"/>
  <c r="R86" i="13"/>
  <c r="O87" i="13"/>
  <c r="R87" i="13" s="1"/>
  <c r="R110" i="13"/>
  <c r="O100" i="13"/>
  <c r="R100" i="13" s="1"/>
  <c r="R85" i="13"/>
  <c r="O99" i="13"/>
  <c r="Q99" i="13" s="1"/>
  <c r="O83" i="13"/>
  <c r="Q83" i="13" s="1"/>
  <c r="R81" i="13"/>
  <c r="Q114" i="13"/>
  <c r="Q102" i="13"/>
  <c r="R114" i="13"/>
  <c r="O131" i="13"/>
  <c r="Q131" i="13" s="1"/>
  <c r="Q106" i="13"/>
  <c r="O123" i="13"/>
  <c r="Q123" i="13" s="1"/>
  <c r="R126" i="13"/>
  <c r="R118" i="13"/>
  <c r="O124" i="13"/>
  <c r="Q124" i="13" s="1"/>
  <c r="R101" i="13"/>
  <c r="Q113" i="13"/>
  <c r="O103" i="13"/>
  <c r="R103" i="13" s="1"/>
  <c r="O127" i="13"/>
  <c r="Q127" i="13" s="1"/>
  <c r="O104" i="13"/>
  <c r="R104" i="13" s="1"/>
  <c r="Q98" i="13"/>
  <c r="Q101" i="13"/>
  <c r="Q81" i="13"/>
  <c r="Q117" i="13"/>
  <c r="R106" i="13"/>
  <c r="Q109" i="13"/>
  <c r="Q125" i="13"/>
  <c r="O120" i="13"/>
  <c r="R120" i="13" s="1"/>
  <c r="O107" i="13"/>
  <c r="R107" i="13" s="1"/>
  <c r="O115" i="13"/>
  <c r="R90" i="13"/>
  <c r="N127" i="13"/>
  <c r="N120" i="13"/>
  <c r="Q110" i="13"/>
  <c r="O119" i="13"/>
  <c r="O128" i="13"/>
  <c r="Q89" i="13"/>
  <c r="Q121" i="13"/>
  <c r="O108" i="13"/>
  <c r="Q111" i="13"/>
  <c r="Q129" i="13"/>
  <c r="Q122" i="13"/>
  <c r="R117" i="13"/>
  <c r="Q105" i="13"/>
  <c r="Q118" i="13"/>
  <c r="Q126" i="13"/>
  <c r="Q134" i="13"/>
  <c r="E184" i="1" s="1"/>
  <c r="M134" i="13"/>
  <c r="R134" i="13"/>
  <c r="F184" i="1" s="1"/>
  <c r="O134" i="13"/>
  <c r="P134" i="13" s="1"/>
  <c r="N134" i="13"/>
  <c r="O157" i="13"/>
  <c r="P157" i="13" s="1"/>
  <c r="N157" i="13"/>
  <c r="R157" i="13"/>
  <c r="F207" i="1" s="1"/>
  <c r="Q157" i="13"/>
  <c r="E207" i="1" s="1"/>
  <c r="M157" i="13"/>
  <c r="Q94" i="13"/>
  <c r="O92" i="13"/>
  <c r="N151" i="13"/>
  <c r="M151" i="13"/>
  <c r="R151" i="13"/>
  <c r="F201" i="1" s="1"/>
  <c r="Q151" i="13"/>
  <c r="E201" i="1" s="1"/>
  <c r="O151" i="13"/>
  <c r="P151" i="13" s="1"/>
  <c r="T170" i="13"/>
  <c r="Q82" i="13"/>
  <c r="R96" i="13"/>
  <c r="M133" i="13"/>
  <c r="R133" i="13"/>
  <c r="F183" i="1" s="1"/>
  <c r="Q133" i="13"/>
  <c r="E183" i="1" s="1"/>
  <c r="O133" i="13"/>
  <c r="P133" i="13" s="1"/>
  <c r="N133" i="13"/>
  <c r="Q136" i="13"/>
  <c r="E186" i="1" s="1"/>
  <c r="M136" i="13"/>
  <c r="R136" i="13"/>
  <c r="F186" i="1" s="1"/>
  <c r="O136" i="13"/>
  <c r="P136" i="13" s="1"/>
  <c r="N136" i="13"/>
  <c r="O152" i="13"/>
  <c r="P152" i="13" s="1"/>
  <c r="R152" i="13"/>
  <c r="F202" i="1" s="1"/>
  <c r="Q152" i="13"/>
  <c r="E202" i="1" s="1"/>
  <c r="N152" i="13"/>
  <c r="M152" i="13"/>
  <c r="N143" i="13"/>
  <c r="R143" i="13"/>
  <c r="F193" i="1" s="1"/>
  <c r="Q143" i="13"/>
  <c r="E193" i="1" s="1"/>
  <c r="M143" i="13"/>
  <c r="O143" i="13"/>
  <c r="P143" i="13" s="1"/>
  <c r="T155" i="13"/>
  <c r="R160" i="13"/>
  <c r="F210" i="1" s="1"/>
  <c r="O160" i="13"/>
  <c r="P160" i="13" s="1"/>
  <c r="N160" i="13"/>
  <c r="Q160" i="13"/>
  <c r="E210" i="1" s="1"/>
  <c r="M160" i="13"/>
  <c r="O161" i="13"/>
  <c r="P161" i="13" s="1"/>
  <c r="N161" i="13"/>
  <c r="Q161" i="13"/>
  <c r="E211" i="1" s="1"/>
  <c r="M161" i="13"/>
  <c r="R161" i="13"/>
  <c r="F211" i="1" s="1"/>
  <c r="R169" i="13"/>
  <c r="F219" i="1" s="1"/>
  <c r="Q169" i="13"/>
  <c r="E219" i="1" s="1"/>
  <c r="O169" i="13"/>
  <c r="P169" i="13" s="1"/>
  <c r="N169" i="13"/>
  <c r="M169" i="13"/>
  <c r="M164" i="13"/>
  <c r="R164" i="13"/>
  <c r="F214" i="1" s="1"/>
  <c r="Q164" i="13"/>
  <c r="E214" i="1" s="1"/>
  <c r="O164" i="13"/>
  <c r="P164" i="13" s="1"/>
  <c r="N164" i="13"/>
  <c r="Q141" i="13"/>
  <c r="E191" i="1" s="1"/>
  <c r="M141" i="13"/>
  <c r="R141" i="13"/>
  <c r="F191" i="1" s="1"/>
  <c r="O141" i="13"/>
  <c r="P141" i="13" s="1"/>
  <c r="N141" i="13"/>
  <c r="Q138" i="13"/>
  <c r="E188" i="1" s="1"/>
  <c r="M138" i="13"/>
  <c r="R138" i="13"/>
  <c r="F188" i="1" s="1"/>
  <c r="O138" i="13"/>
  <c r="P138" i="13" s="1"/>
  <c r="N138" i="13"/>
  <c r="O91" i="13"/>
  <c r="Q86" i="13"/>
  <c r="Q154" i="13"/>
  <c r="E204" i="1" s="1"/>
  <c r="O154" i="13"/>
  <c r="P154" i="13" s="1"/>
  <c r="M154" i="13"/>
  <c r="N154" i="13"/>
  <c r="R154" i="13"/>
  <c r="F204" i="1" s="1"/>
  <c r="N163" i="13"/>
  <c r="M163" i="13"/>
  <c r="R163" i="13"/>
  <c r="F213" i="1" s="1"/>
  <c r="Q163" i="13"/>
  <c r="E213" i="1" s="1"/>
  <c r="O163" i="13"/>
  <c r="P163" i="13" s="1"/>
  <c r="Q135" i="13"/>
  <c r="E185" i="1" s="1"/>
  <c r="M135" i="13"/>
  <c r="O135" i="13"/>
  <c r="P135" i="13" s="1"/>
  <c r="N135" i="13"/>
  <c r="R135" i="13"/>
  <c r="F185" i="1" s="1"/>
  <c r="M165" i="13"/>
  <c r="R165" i="13"/>
  <c r="F215" i="1" s="1"/>
  <c r="Q165" i="13"/>
  <c r="E215" i="1" s="1"/>
  <c r="O165" i="13"/>
  <c r="P165" i="13" s="1"/>
  <c r="N165" i="13"/>
  <c r="R168" i="13"/>
  <c r="F218" i="1" s="1"/>
  <c r="Q168" i="13"/>
  <c r="E218" i="1" s="1"/>
  <c r="O168" i="13"/>
  <c r="P168" i="13" s="1"/>
  <c r="N168" i="13"/>
  <c r="M168" i="13"/>
  <c r="N150" i="13"/>
  <c r="Q150" i="13"/>
  <c r="E200" i="1" s="1"/>
  <c r="O150" i="13"/>
  <c r="P150" i="13" s="1"/>
  <c r="M150" i="13"/>
  <c r="R150" i="13"/>
  <c r="F200" i="1" s="1"/>
  <c r="R137" i="13"/>
  <c r="F187" i="1" s="1"/>
  <c r="O137" i="13"/>
  <c r="P137" i="13" s="1"/>
  <c r="N137" i="13"/>
  <c r="Q137" i="13"/>
  <c r="E187" i="1" s="1"/>
  <c r="M137" i="13"/>
  <c r="O149" i="13"/>
  <c r="P149" i="13" s="1"/>
  <c r="N149" i="13"/>
  <c r="M149" i="13"/>
  <c r="R149" i="13"/>
  <c r="F199" i="1" s="1"/>
  <c r="Q149" i="13"/>
  <c r="E199" i="1" s="1"/>
  <c r="R98" i="13"/>
  <c r="R175" i="13"/>
  <c r="F225" i="1" s="1"/>
  <c r="Q175" i="13"/>
  <c r="E225" i="1" s="1"/>
  <c r="O175" i="13"/>
  <c r="P175" i="13" s="1"/>
  <c r="N175" i="13"/>
  <c r="M175" i="13"/>
  <c r="B131" i="1"/>
  <c r="M153" i="13"/>
  <c r="N153" i="13"/>
  <c r="R153" i="13"/>
  <c r="F203" i="1" s="1"/>
  <c r="Q153" i="13"/>
  <c r="E203" i="1" s="1"/>
  <c r="O153" i="13"/>
  <c r="P153" i="13" s="1"/>
  <c r="R173" i="13"/>
  <c r="F223" i="1" s="1"/>
  <c r="Q173" i="13"/>
  <c r="E223" i="1" s="1"/>
  <c r="O173" i="13"/>
  <c r="P173" i="13" s="1"/>
  <c r="N173" i="13"/>
  <c r="M173" i="13"/>
  <c r="R97" i="13"/>
  <c r="Q97" i="13"/>
  <c r="R102" i="13"/>
  <c r="O80" i="13"/>
  <c r="P80" i="13" s="1"/>
  <c r="P81" i="13" s="1"/>
  <c r="P82" i="13" s="1"/>
  <c r="O88" i="13"/>
  <c r="R132" i="13"/>
  <c r="F182" i="1" s="1"/>
  <c r="Q132" i="13"/>
  <c r="E182" i="1" s="1"/>
  <c r="O132" i="13"/>
  <c r="P132" i="13" s="1"/>
  <c r="N132" i="13"/>
  <c r="M132" i="13"/>
  <c r="T142" i="13"/>
  <c r="O171" i="13"/>
  <c r="P171" i="13" s="1"/>
  <c r="M171" i="13"/>
  <c r="N171" i="13"/>
  <c r="R171" i="13"/>
  <c r="F221" i="1" s="1"/>
  <c r="Q171" i="13"/>
  <c r="E221" i="1" s="1"/>
  <c r="R172" i="13"/>
  <c r="F222" i="1" s="1"/>
  <c r="Q172" i="13"/>
  <c r="E222" i="1" s="1"/>
  <c r="O172" i="13"/>
  <c r="P172" i="13" s="1"/>
  <c r="N172" i="13"/>
  <c r="M172" i="13"/>
  <c r="N159" i="13"/>
  <c r="R159" i="13"/>
  <c r="F209" i="1" s="1"/>
  <c r="Q159" i="13"/>
  <c r="E209" i="1" s="1"/>
  <c r="M159" i="13"/>
  <c r="O159" i="13"/>
  <c r="P159" i="13" s="1"/>
  <c r="Q145" i="13"/>
  <c r="E195" i="1" s="1"/>
  <c r="O145" i="13"/>
  <c r="P145" i="13" s="1"/>
  <c r="N145" i="13"/>
  <c r="M145" i="13"/>
  <c r="R145" i="13"/>
  <c r="F195" i="1" s="1"/>
  <c r="Q147" i="13"/>
  <c r="E197" i="1" s="1"/>
  <c r="O147" i="13"/>
  <c r="P147" i="13" s="1"/>
  <c r="N147" i="13"/>
  <c r="M147" i="13"/>
  <c r="R147" i="13"/>
  <c r="F197" i="1" s="1"/>
  <c r="R166" i="13"/>
  <c r="F216" i="1" s="1"/>
  <c r="Q166" i="13"/>
  <c r="E216" i="1" s="1"/>
  <c r="O166" i="13"/>
  <c r="P166" i="13" s="1"/>
  <c r="N166" i="13"/>
  <c r="M166" i="13"/>
  <c r="T146" i="13"/>
  <c r="R148" i="13"/>
  <c r="F198" i="1" s="1"/>
  <c r="Q148" i="13"/>
  <c r="E198" i="1" s="1"/>
  <c r="O148" i="13"/>
  <c r="P148" i="13" s="1"/>
  <c r="N148" i="13"/>
  <c r="M148" i="13"/>
  <c r="Q144" i="13"/>
  <c r="E194" i="1" s="1"/>
  <c r="O144" i="13"/>
  <c r="P144" i="13" s="1"/>
  <c r="N144" i="13"/>
  <c r="M144" i="13"/>
  <c r="R144" i="13"/>
  <c r="F194" i="1" s="1"/>
  <c r="T158" i="13"/>
  <c r="N174" i="13"/>
  <c r="M174" i="13"/>
  <c r="R174" i="13"/>
  <c r="F224" i="1" s="1"/>
  <c r="Q174" i="13"/>
  <c r="E224" i="1" s="1"/>
  <c r="O174" i="13"/>
  <c r="P174" i="13" s="1"/>
  <c r="Q139" i="13"/>
  <c r="E189" i="1" s="1"/>
  <c r="M139" i="13"/>
  <c r="O139" i="13"/>
  <c r="P139" i="13" s="1"/>
  <c r="N139" i="13"/>
  <c r="R139" i="13"/>
  <c r="F189" i="1" s="1"/>
  <c r="T162" i="13"/>
  <c r="N156" i="13"/>
  <c r="R156" i="13"/>
  <c r="F206" i="1" s="1"/>
  <c r="Q156" i="13"/>
  <c r="E206" i="1" s="1"/>
  <c r="O156" i="13"/>
  <c r="P156" i="13" s="1"/>
  <c r="M156" i="13"/>
  <c r="R167" i="13"/>
  <c r="F217" i="1" s="1"/>
  <c r="Q167" i="13"/>
  <c r="E217" i="1" s="1"/>
  <c r="O167" i="13"/>
  <c r="P167" i="13" s="1"/>
  <c r="N167" i="13"/>
  <c r="M167" i="13"/>
  <c r="N140" i="13"/>
  <c r="Q140" i="13"/>
  <c r="E190" i="1" s="1"/>
  <c r="M140" i="13"/>
  <c r="R140" i="13"/>
  <c r="F190" i="1" s="1"/>
  <c r="O140" i="13"/>
  <c r="P140" i="13" s="1"/>
  <c r="Q112" i="13" l="1"/>
  <c r="T112" i="13" s="1"/>
  <c r="R84" i="13"/>
  <c r="R116" i="13"/>
  <c r="T117" i="13" s="1"/>
  <c r="T130" i="13"/>
  <c r="J51" i="1"/>
  <c r="I51" i="1"/>
  <c r="R83" i="13"/>
  <c r="Q87" i="13"/>
  <c r="T106" i="13"/>
  <c r="R95" i="13"/>
  <c r="T96" i="13" s="1"/>
  <c r="Q100" i="13"/>
  <c r="T101" i="13" s="1"/>
  <c r="B132" i="1"/>
  <c r="J52" i="1" s="1"/>
  <c r="E131" i="1"/>
  <c r="F131" i="1"/>
  <c r="L51" i="1" s="1"/>
  <c r="N48" i="1"/>
  <c r="Q104" i="13"/>
  <c r="T111" i="13"/>
  <c r="R123" i="13"/>
  <c r="T123" i="13" s="1"/>
  <c r="R99" i="13"/>
  <c r="T99" i="13" s="1"/>
  <c r="P83" i="13"/>
  <c r="P84" i="13" s="1"/>
  <c r="P85" i="13" s="1"/>
  <c r="P86" i="13" s="1"/>
  <c r="P87" i="13" s="1"/>
  <c r="P88" i="13" s="1"/>
  <c r="P89" i="13" s="1"/>
  <c r="P90" i="13" s="1"/>
  <c r="P91" i="13" s="1"/>
  <c r="P92" i="13" s="1"/>
  <c r="P93" i="13" s="1"/>
  <c r="P94" i="13" s="1"/>
  <c r="P95" i="13" s="1"/>
  <c r="P96" i="13" s="1"/>
  <c r="P97" i="13" s="1"/>
  <c r="P98" i="13" s="1"/>
  <c r="P99" i="13" s="1"/>
  <c r="P100" i="13" s="1"/>
  <c r="P101" i="13" s="1"/>
  <c r="P102" i="13" s="1"/>
  <c r="P103" i="13" s="1"/>
  <c r="P104" i="13" s="1"/>
  <c r="P105" i="13" s="1"/>
  <c r="P106" i="13" s="1"/>
  <c r="P107" i="13" s="1"/>
  <c r="P108" i="13" s="1"/>
  <c r="P109" i="13" s="1"/>
  <c r="P110" i="13" s="1"/>
  <c r="P111" i="13" s="1"/>
  <c r="P112" i="13" s="1"/>
  <c r="P113" i="13" s="1"/>
  <c r="P114" i="13" s="1"/>
  <c r="P115" i="13" s="1"/>
  <c r="P116" i="13" s="1"/>
  <c r="P117" i="13" s="1"/>
  <c r="P118" i="13" s="1"/>
  <c r="P119" i="13" s="1"/>
  <c r="P120" i="13" s="1"/>
  <c r="P121" i="13" s="1"/>
  <c r="P122" i="13" s="1"/>
  <c r="P123" i="13" s="1"/>
  <c r="P124" i="13" s="1"/>
  <c r="P125" i="13" s="1"/>
  <c r="P126" i="13" s="1"/>
  <c r="P127" i="13" s="1"/>
  <c r="P128" i="13" s="1"/>
  <c r="P129" i="13" s="1"/>
  <c r="P130" i="13" s="1"/>
  <c r="P131" i="13" s="1"/>
  <c r="T85" i="13"/>
  <c r="Q103" i="13"/>
  <c r="T103" i="13" s="1"/>
  <c r="T113" i="13"/>
  <c r="T90" i="13"/>
  <c r="T110" i="13"/>
  <c r="R131" i="13"/>
  <c r="T131" i="13" s="1"/>
  <c r="T122" i="13"/>
  <c r="T126" i="13"/>
  <c r="R127" i="13"/>
  <c r="T127" i="13" s="1"/>
  <c r="T118" i="13"/>
  <c r="T114" i="13"/>
  <c r="R124" i="13"/>
  <c r="Q107" i="13"/>
  <c r="Q120" i="13"/>
  <c r="Q115" i="13"/>
  <c r="R115" i="13"/>
  <c r="R119" i="13"/>
  <c r="Q119" i="13"/>
  <c r="R108" i="13"/>
  <c r="Q108" i="13"/>
  <c r="Q128" i="13"/>
  <c r="R128" i="13"/>
  <c r="Q91" i="13"/>
  <c r="R91" i="13"/>
  <c r="T141" i="13"/>
  <c r="T151" i="13"/>
  <c r="T97" i="13"/>
  <c r="T153" i="13"/>
  <c r="T137" i="13"/>
  <c r="T143" i="13"/>
  <c r="T134" i="13"/>
  <c r="T173" i="13"/>
  <c r="T156" i="13"/>
  <c r="T147" i="13"/>
  <c r="T172" i="13"/>
  <c r="T132" i="13"/>
  <c r="Q88" i="13"/>
  <c r="R88" i="13"/>
  <c r="T175" i="13"/>
  <c r="T150" i="13"/>
  <c r="T102" i="13"/>
  <c r="T167" i="13"/>
  <c r="Q80" i="13"/>
  <c r="E130" i="1" s="1"/>
  <c r="K50" i="1" s="1"/>
  <c r="T149" i="13"/>
  <c r="T138" i="13"/>
  <c r="T161" i="13"/>
  <c r="T87" i="13"/>
  <c r="T140" i="13"/>
  <c r="T144" i="13"/>
  <c r="T166" i="13"/>
  <c r="T159" i="13"/>
  <c r="T171" i="13"/>
  <c r="R80" i="13"/>
  <c r="F130" i="1" s="1"/>
  <c r="L50" i="1" s="1"/>
  <c r="T135" i="13"/>
  <c r="T82" i="13"/>
  <c r="Q92" i="13"/>
  <c r="R92" i="13"/>
  <c r="T83" i="13"/>
  <c r="T98" i="13"/>
  <c r="T165" i="13"/>
  <c r="T94" i="13"/>
  <c r="T139" i="13"/>
  <c r="T163" i="13"/>
  <c r="T154" i="13"/>
  <c r="T152" i="13"/>
  <c r="T133" i="13"/>
  <c r="T174" i="13"/>
  <c r="T148" i="13"/>
  <c r="T145" i="13"/>
  <c r="T168" i="13"/>
  <c r="T86" i="13"/>
  <c r="T164" i="13"/>
  <c r="T169" i="13"/>
  <c r="T160" i="13"/>
  <c r="T136" i="13"/>
  <c r="T157" i="13"/>
  <c r="T84" i="13" l="1"/>
  <c r="T95" i="13"/>
  <c r="K51" i="1"/>
  <c r="I52" i="1"/>
  <c r="T100" i="13"/>
  <c r="T104" i="13"/>
  <c r="B133" i="1"/>
  <c r="J53" i="1" s="1"/>
  <c r="E132" i="1"/>
  <c r="F132" i="1"/>
  <c r="N49" i="1"/>
  <c r="T105" i="13"/>
  <c r="T124" i="13"/>
  <c r="T125" i="13"/>
  <c r="T107" i="13"/>
  <c r="T121" i="13"/>
  <c r="T116" i="13"/>
  <c r="T115" i="13"/>
  <c r="T109" i="13"/>
  <c r="T108" i="13"/>
  <c r="T129" i="13"/>
  <c r="T128" i="13"/>
  <c r="T119" i="13"/>
  <c r="T120" i="13"/>
  <c r="T91" i="13"/>
  <c r="N50" i="1"/>
  <c r="T80" i="13"/>
  <c r="T81" i="13"/>
  <c r="T92" i="13"/>
  <c r="T93" i="13"/>
  <c r="T88" i="13"/>
  <c r="T89" i="13"/>
  <c r="K52" i="1" l="1"/>
  <c r="L52" i="1"/>
  <c r="J54" i="1"/>
  <c r="I53" i="1"/>
  <c r="B134" i="1"/>
  <c r="E133" i="1"/>
  <c r="F133" i="1"/>
  <c r="N51" i="1"/>
  <c r="N52" i="1" l="1"/>
  <c r="B135" i="1"/>
  <c r="E134" i="1"/>
  <c r="F134" i="1"/>
  <c r="K54" i="1" l="1"/>
  <c r="L54" i="1"/>
  <c r="J55" i="1"/>
  <c r="B136" i="1"/>
  <c r="E135" i="1"/>
  <c r="K55" i="1" s="1"/>
  <c r="F135" i="1"/>
  <c r="L55" i="1" s="1"/>
  <c r="N55" i="1" l="1"/>
  <c r="B137" i="1"/>
  <c r="E136" i="1"/>
  <c r="F136" i="1"/>
  <c r="J57" i="1" l="1"/>
  <c r="B138" i="1"/>
  <c r="I58" i="1" s="1"/>
  <c r="E137" i="1"/>
  <c r="F137" i="1"/>
  <c r="B139" i="1" l="1"/>
  <c r="E138" i="1"/>
  <c r="K58" i="1" s="1"/>
  <c r="F138" i="1"/>
  <c r="L58" i="1" l="1"/>
  <c r="B140" i="1"/>
  <c r="E139" i="1"/>
  <c r="F139" i="1"/>
  <c r="B141" i="1" l="1"/>
  <c r="E140" i="1"/>
  <c r="F140" i="1"/>
  <c r="B142" i="1" l="1"/>
  <c r="E141" i="1"/>
  <c r="F141" i="1"/>
  <c r="B143" i="1" l="1"/>
  <c r="E142" i="1"/>
  <c r="F142" i="1"/>
  <c r="B144" i="1" l="1"/>
  <c r="E143" i="1"/>
  <c r="F143" i="1"/>
  <c r="B145" i="1" l="1"/>
  <c r="E144" i="1"/>
  <c r="F144" i="1"/>
  <c r="B146" i="1" l="1"/>
  <c r="E145" i="1"/>
  <c r="F145" i="1"/>
  <c r="B147" i="1" l="1"/>
  <c r="E146" i="1"/>
  <c r="F146" i="1"/>
  <c r="B148" i="1" l="1"/>
  <c r="E147" i="1"/>
  <c r="F147" i="1"/>
  <c r="B149" i="1" l="1"/>
  <c r="E148" i="1"/>
  <c r="F148" i="1"/>
  <c r="B150" i="1" l="1"/>
  <c r="E149" i="1"/>
  <c r="F149" i="1"/>
  <c r="B151" i="1" l="1"/>
  <c r="E150" i="1"/>
  <c r="F150" i="1"/>
  <c r="B152" i="1" l="1"/>
  <c r="E151" i="1"/>
  <c r="F151" i="1"/>
  <c r="B153" i="1" l="1"/>
  <c r="E152" i="1"/>
  <c r="F152" i="1"/>
  <c r="B154" i="1" l="1"/>
  <c r="E153" i="1"/>
  <c r="F153" i="1"/>
  <c r="B155" i="1" l="1"/>
  <c r="E154" i="1"/>
  <c r="F154" i="1"/>
  <c r="B156" i="1" l="1"/>
  <c r="E155" i="1"/>
  <c r="F155" i="1"/>
  <c r="B157" i="1" l="1"/>
  <c r="E156" i="1"/>
  <c r="F156" i="1"/>
  <c r="B158" i="1" l="1"/>
  <c r="E157" i="1"/>
  <c r="F157" i="1"/>
  <c r="B159" i="1" l="1"/>
  <c r="E158" i="1"/>
  <c r="F158" i="1"/>
  <c r="B160" i="1" l="1"/>
  <c r="E159" i="1"/>
  <c r="F159" i="1"/>
  <c r="B161" i="1" l="1"/>
  <c r="E160" i="1"/>
  <c r="F160" i="1"/>
  <c r="B162" i="1" l="1"/>
  <c r="E161" i="1"/>
  <c r="F161" i="1"/>
  <c r="B163" i="1" l="1"/>
  <c r="E162" i="1"/>
  <c r="F162" i="1"/>
  <c r="B164" i="1" l="1"/>
  <c r="E163" i="1"/>
  <c r="F163" i="1"/>
  <c r="B165" i="1" l="1"/>
  <c r="E164" i="1"/>
  <c r="F164" i="1"/>
  <c r="B166" i="1" l="1"/>
  <c r="E165" i="1"/>
  <c r="F165" i="1"/>
  <c r="B167" i="1" l="1"/>
  <c r="E166" i="1"/>
  <c r="F166" i="1"/>
  <c r="B168" i="1" l="1"/>
  <c r="E167" i="1"/>
  <c r="F167" i="1"/>
  <c r="B169" i="1" l="1"/>
  <c r="E168" i="1"/>
  <c r="F168" i="1"/>
  <c r="B170" i="1" l="1"/>
  <c r="E169" i="1"/>
  <c r="F169" i="1"/>
  <c r="B171" i="1" l="1"/>
  <c r="E170" i="1"/>
  <c r="F170" i="1"/>
  <c r="B172" i="1" l="1"/>
  <c r="E171" i="1"/>
  <c r="F171" i="1"/>
  <c r="B173" i="1" l="1"/>
  <c r="E172" i="1"/>
  <c r="F172" i="1"/>
  <c r="B174" i="1" l="1"/>
  <c r="E173" i="1"/>
  <c r="F173" i="1"/>
  <c r="B175" i="1" l="1"/>
  <c r="E174" i="1"/>
  <c r="F174" i="1"/>
  <c r="B176" i="1" l="1"/>
  <c r="E175" i="1"/>
  <c r="F175" i="1"/>
  <c r="B177" i="1" l="1"/>
  <c r="E176" i="1"/>
  <c r="F176" i="1"/>
  <c r="B178" i="1" l="1"/>
  <c r="E177" i="1"/>
  <c r="F177" i="1"/>
  <c r="B179" i="1" l="1"/>
  <c r="E178" i="1"/>
  <c r="F178" i="1"/>
  <c r="B180" i="1" l="1"/>
  <c r="E179" i="1"/>
  <c r="F179" i="1"/>
  <c r="B181" i="1" l="1"/>
  <c r="E180" i="1"/>
  <c r="K108" i="1" s="1"/>
  <c r="F180" i="1"/>
  <c r="K105" i="1" l="1"/>
  <c r="I54" i="1"/>
  <c r="I55" i="1"/>
  <c r="I56" i="1"/>
  <c r="J56" i="1"/>
  <c r="I57" i="1"/>
  <c r="J58" i="1"/>
  <c r="I59" i="1"/>
  <c r="J59" i="1"/>
  <c r="I60" i="1"/>
  <c r="J60" i="1"/>
  <c r="J62" i="1"/>
  <c r="K104" i="1"/>
  <c r="K101" i="1"/>
  <c r="J66" i="1"/>
  <c r="I67" i="1"/>
  <c r="J73" i="1"/>
  <c r="J76" i="1"/>
  <c r="I80" i="1"/>
  <c r="J82" i="1"/>
  <c r="J71" i="1"/>
  <c r="I79" i="1"/>
  <c r="J63" i="1"/>
  <c r="I63" i="1"/>
  <c r="J81" i="1"/>
  <c r="J61" i="1"/>
  <c r="J77" i="1"/>
  <c r="I77" i="1"/>
  <c r="I81" i="1"/>
  <c r="I68" i="1"/>
  <c r="I74" i="1"/>
  <c r="J67" i="1"/>
  <c r="I65" i="1"/>
  <c r="J68" i="1"/>
  <c r="I62" i="1"/>
  <c r="J83" i="1"/>
  <c r="I82" i="1"/>
  <c r="I64" i="1"/>
  <c r="J70" i="1"/>
  <c r="I66" i="1"/>
  <c r="I78" i="1"/>
  <c r="I70" i="1"/>
  <c r="I71" i="1"/>
  <c r="J65" i="1"/>
  <c r="J75" i="1"/>
  <c r="I75" i="1"/>
  <c r="J72" i="1"/>
  <c r="I72" i="1"/>
  <c r="I76" i="1"/>
  <c r="I73" i="1"/>
  <c r="I61" i="1"/>
  <c r="J74" i="1"/>
  <c r="J64" i="1"/>
  <c r="J80" i="1"/>
  <c r="I69" i="1"/>
  <c r="J69" i="1"/>
  <c r="I83" i="1"/>
  <c r="J79" i="1"/>
  <c r="J78" i="1"/>
  <c r="I84" i="1"/>
  <c r="J85" i="1"/>
  <c r="J84" i="1"/>
  <c r="I86" i="1"/>
  <c r="I85" i="1"/>
  <c r="J86" i="1"/>
  <c r="J88" i="1"/>
  <c r="J87" i="1"/>
  <c r="I88" i="1"/>
  <c r="I87" i="1"/>
  <c r="E181" i="1"/>
  <c r="K109" i="1" s="1"/>
  <c r="F181" i="1"/>
  <c r="J123" i="1"/>
  <c r="I91" i="1"/>
  <c r="J109" i="1"/>
  <c r="I98" i="1"/>
  <c r="I96" i="1"/>
  <c r="J108" i="1"/>
  <c r="I124" i="1"/>
  <c r="J105" i="1"/>
  <c r="I100" i="1"/>
  <c r="J93" i="1"/>
  <c r="J106" i="1"/>
  <c r="I116" i="1"/>
  <c r="I109" i="1"/>
  <c r="J91" i="1"/>
  <c r="J90" i="1"/>
  <c r="J110" i="1"/>
  <c r="J126" i="1"/>
  <c r="J127" i="1"/>
  <c r="J107" i="1"/>
  <c r="I92" i="1"/>
  <c r="J102" i="1"/>
  <c r="J101" i="1"/>
  <c r="J92" i="1"/>
  <c r="J124" i="1"/>
  <c r="I94" i="1"/>
  <c r="I95" i="1"/>
  <c r="I125" i="1"/>
  <c r="I107" i="1"/>
  <c r="J96" i="1"/>
  <c r="J89" i="1"/>
  <c r="J94" i="1"/>
  <c r="I108" i="1"/>
  <c r="I112" i="1"/>
  <c r="I118" i="1"/>
  <c r="J99" i="1"/>
  <c r="I101" i="1"/>
  <c r="J117" i="1"/>
  <c r="I111" i="1"/>
  <c r="J104" i="1"/>
  <c r="J98" i="1"/>
  <c r="I121" i="1"/>
  <c r="I89" i="1"/>
  <c r="J112" i="1"/>
  <c r="J119" i="1"/>
  <c r="I103" i="1"/>
  <c r="I99" i="1"/>
  <c r="J118" i="1"/>
  <c r="J97" i="1"/>
  <c r="I106" i="1"/>
  <c r="J120" i="1"/>
  <c r="J100" i="1"/>
  <c r="I90" i="1"/>
  <c r="I115" i="1"/>
  <c r="I104" i="1"/>
  <c r="J125" i="1"/>
  <c r="I122" i="1"/>
  <c r="J114" i="1"/>
  <c r="I110" i="1"/>
  <c r="I123" i="1"/>
  <c r="I114" i="1"/>
  <c r="J103" i="1"/>
  <c r="I126" i="1"/>
  <c r="I105" i="1"/>
  <c r="J122" i="1"/>
  <c r="J111" i="1"/>
  <c r="I120" i="1"/>
  <c r="J121" i="1"/>
  <c r="I97" i="1"/>
  <c r="I93" i="1"/>
  <c r="I113" i="1"/>
  <c r="J116" i="1"/>
  <c r="J115" i="1"/>
  <c r="I119" i="1"/>
  <c r="J113" i="1"/>
  <c r="I127" i="1"/>
  <c r="I102" i="1"/>
  <c r="J95" i="1"/>
  <c r="I117" i="1"/>
  <c r="K53" i="1" l="1"/>
  <c r="L53" i="1"/>
  <c r="K57" i="1"/>
  <c r="L57" i="1"/>
  <c r="L56" i="1"/>
  <c r="K56" i="1"/>
  <c r="L59" i="1"/>
  <c r="K59" i="1"/>
  <c r="L60" i="1"/>
  <c r="K60" i="1"/>
  <c r="K64" i="1"/>
  <c r="K61" i="1"/>
  <c r="L61" i="1"/>
  <c r="L63" i="1"/>
  <c r="L62" i="1"/>
  <c r="L65" i="1"/>
  <c r="K63" i="1"/>
  <c r="K62" i="1"/>
  <c r="L64" i="1"/>
  <c r="K66" i="1"/>
  <c r="K65" i="1"/>
  <c r="L66" i="1"/>
  <c r="L67" i="1"/>
  <c r="K68" i="1"/>
  <c r="K67" i="1"/>
  <c r="K69" i="1"/>
  <c r="L68" i="1"/>
  <c r="K70" i="1"/>
  <c r="L69" i="1"/>
  <c r="L71" i="1"/>
  <c r="L72" i="1"/>
  <c r="K72" i="1"/>
  <c r="K71" i="1"/>
  <c r="L70" i="1"/>
  <c r="K73" i="1"/>
  <c r="L74" i="1"/>
  <c r="K74" i="1"/>
  <c r="L73" i="1"/>
  <c r="L75" i="1"/>
  <c r="K75" i="1"/>
  <c r="L76" i="1"/>
  <c r="L78" i="1"/>
  <c r="L77" i="1"/>
  <c r="K76" i="1"/>
  <c r="K79" i="1"/>
  <c r="K77" i="1"/>
  <c r="L79" i="1"/>
  <c r="K80" i="1"/>
  <c r="K78" i="1"/>
  <c r="L81" i="1"/>
  <c r="K81" i="1"/>
  <c r="L80" i="1"/>
  <c r="L82" i="1"/>
  <c r="L83" i="1"/>
  <c r="K82" i="1"/>
  <c r="K84" i="1"/>
  <c r="L85" i="1"/>
  <c r="K83" i="1"/>
  <c r="L84" i="1"/>
  <c r="K85" i="1"/>
  <c r="L87" i="1"/>
  <c r="K86" i="1"/>
  <c r="L86" i="1"/>
  <c r="K87" i="1"/>
  <c r="K88" i="1"/>
  <c r="K89" i="1"/>
  <c r="K92" i="1"/>
  <c r="K93" i="1"/>
  <c r="K96" i="1"/>
  <c r="K100" i="1"/>
  <c r="L114" i="1"/>
  <c r="L89" i="1"/>
  <c r="K90" i="1"/>
  <c r="L121" i="1"/>
  <c r="L119" i="1"/>
  <c r="L125" i="1"/>
  <c r="K118" i="1"/>
  <c r="N118" i="1" s="1"/>
  <c r="K125" i="1"/>
  <c r="N125" i="1" s="1"/>
  <c r="K113" i="1"/>
  <c r="N113" i="1" s="1"/>
  <c r="K121" i="1"/>
  <c r="N121" i="1" s="1"/>
  <c r="K123" i="1"/>
  <c r="N123" i="1" s="1"/>
  <c r="K110" i="1"/>
  <c r="N110" i="1" s="1"/>
  <c r="K115" i="1"/>
  <c r="N115" i="1" s="1"/>
  <c r="K112" i="1"/>
  <c r="N112" i="1" s="1"/>
  <c r="K97" i="1"/>
  <c r="L93" i="1"/>
  <c r="K94" i="1"/>
  <c r="L127" i="1"/>
  <c r="K106" i="1"/>
  <c r="L98" i="1"/>
  <c r="L126" i="1"/>
  <c r="L107" i="1"/>
  <c r="K98" i="1"/>
  <c r="L115" i="1"/>
  <c r="L112" i="1"/>
  <c r="L122" i="1"/>
  <c r="L88" i="1"/>
  <c r="K114" i="1"/>
  <c r="N114" i="1" s="1"/>
  <c r="K120" i="1"/>
  <c r="N120" i="1" s="1"/>
  <c r="K119" i="1"/>
  <c r="N119" i="1" s="1"/>
  <c r="L108" i="1"/>
  <c r="K99" i="1"/>
  <c r="K103" i="1"/>
  <c r="K107" i="1"/>
  <c r="L100" i="1"/>
  <c r="L118" i="1"/>
  <c r="L96" i="1"/>
  <c r="K111" i="1"/>
  <c r="N111" i="1" s="1"/>
  <c r="L116" i="1"/>
  <c r="K91" i="1"/>
  <c r="L113" i="1"/>
  <c r="L123" i="1"/>
  <c r="L102" i="1"/>
  <c r="L124" i="1"/>
  <c r="L117" i="1"/>
  <c r="L99" i="1"/>
  <c r="K117" i="1"/>
  <c r="N117" i="1" s="1"/>
  <c r="L106" i="1"/>
  <c r="K116" i="1"/>
  <c r="N116" i="1" s="1"/>
  <c r="L94" i="1"/>
  <c r="K126" i="1"/>
  <c r="N126" i="1" s="1"/>
  <c r="K122" i="1"/>
  <c r="N122" i="1" s="1"/>
  <c r="K127" i="1"/>
  <c r="N127" i="1" s="1"/>
  <c r="K102" i="1"/>
  <c r="L95" i="1"/>
  <c r="L92" i="1"/>
  <c r="L111" i="1"/>
  <c r="K95" i="1"/>
  <c r="L110" i="1"/>
  <c r="L91" i="1"/>
  <c r="L97" i="1"/>
  <c r="L101" i="1"/>
  <c r="L104" i="1"/>
  <c r="L103" i="1"/>
  <c r="L105" i="1"/>
  <c r="L90" i="1"/>
  <c r="L120" i="1"/>
  <c r="K124" i="1"/>
  <c r="N124" i="1" s="1"/>
  <c r="L109" i="1"/>
  <c r="N84" i="1" l="1"/>
  <c r="N59" i="1"/>
  <c r="N77" i="1"/>
  <c r="N75" i="1"/>
  <c r="N87" i="1"/>
  <c r="N82" i="1"/>
  <c r="N56" i="1"/>
  <c r="N65" i="1"/>
  <c r="N76" i="1"/>
  <c r="N70" i="1"/>
  <c r="N62" i="1"/>
  <c r="N60" i="1"/>
  <c r="N78" i="1"/>
  <c r="N67" i="1"/>
  <c r="N69" i="1"/>
  <c r="N88" i="1"/>
  <c r="N81" i="1"/>
  <c r="N101" i="1"/>
  <c r="N68" i="1"/>
  <c r="N80" i="1"/>
  <c r="N66" i="1"/>
  <c r="N79" i="1"/>
  <c r="N63" i="1"/>
  <c r="N61" i="1"/>
  <c r="N64" i="1"/>
  <c r="N74" i="1"/>
  <c r="N73" i="1"/>
  <c r="N86" i="1"/>
  <c r="N71" i="1"/>
  <c r="N85" i="1"/>
  <c r="N72" i="1"/>
  <c r="N57" i="1"/>
  <c r="N58" i="1"/>
  <c r="N83" i="1"/>
  <c r="N53" i="1"/>
  <c r="N54" i="1"/>
  <c r="N109" i="1"/>
  <c r="N105" i="1"/>
  <c r="N102" i="1"/>
  <c r="N106" i="1"/>
  <c r="N90" i="1"/>
  <c r="N95" i="1"/>
  <c r="N96" i="1"/>
  <c r="N107" i="1"/>
  <c r="N108" i="1"/>
  <c r="N89" i="1"/>
  <c r="N103" i="1"/>
  <c r="N104" i="1"/>
  <c r="N94" i="1"/>
  <c r="N91" i="1"/>
  <c r="N92" i="1"/>
  <c r="N99" i="1"/>
  <c r="N100" i="1"/>
  <c r="N93" i="1"/>
  <c r="N98" i="1"/>
  <c r="N97" i="1"/>
  <c r="P29" i="1" s="1"/>
  <c r="P27" i="1" l="1"/>
  <c r="P28" i="1" s="1"/>
  <c r="P30" i="1" s="1"/>
  <c r="B69" i="5" s="1"/>
  <c r="B68" i="5" l="1"/>
  <c r="C6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Giampaolo</author>
    <author>Utente</author>
  </authors>
  <commentList>
    <comment ref="F2" authorId="0" shapeId="0" xr:uid="{00000000-0006-0000-0200-000001000000}">
      <text>
        <r>
          <rPr>
            <b/>
            <sz val="9"/>
            <color indexed="81"/>
            <rFont val="Tahoma"/>
            <family val="2"/>
          </rPr>
          <t>Valori calcolati partendo dal FOV.</t>
        </r>
      </text>
    </comment>
    <comment ref="N2" authorId="0" shapeId="0" xr:uid="{20BD72F5-6581-4718-98CF-2395190EE302}">
      <text>
        <r>
          <rPr>
            <b/>
            <sz val="9"/>
            <color indexed="81"/>
            <rFont val="Tahoma"/>
            <family val="2"/>
          </rPr>
          <t>Qualsiasi sia il formato della foto, le dimensioni dei pixel non devono cambiare. Per determinare le dimensioni dei pixel considero il formato di foto che occupa l'intero sensore. Per gli altri formati impongo l'uguaglianza con le dimensioni calcolate per il formato che occupa l'intero sensore.</t>
        </r>
      </text>
    </comment>
    <comment ref="N15" authorId="1" shapeId="0" xr:uid="{9928E338-BD37-49C3-B11D-80D5A14871BA}">
      <text>
        <r>
          <rPr>
            <b/>
            <sz val="9"/>
            <color indexed="81"/>
            <rFont val="Tahoma"/>
            <family val="2"/>
          </rPr>
          <t xml:space="preserve">DJI mi ha fornito la dimensione dei pixel, quindi la dimensione del sensore la ho calcolata utilizzando tale misura moltiplicata per i pixel della larghezza e dell'altezza. </t>
        </r>
      </text>
    </comment>
    <comment ref="M32" authorId="0" shapeId="0" xr:uid="{E5ABF65E-060C-4AEC-AB48-8C83A226FCA1}">
      <text>
        <r>
          <rPr>
            <b/>
            <sz val="9"/>
            <color indexed="81"/>
            <rFont val="Tahoma"/>
            <family val="2"/>
          </rPr>
          <t>Essendo una full frame, ho imposto il crop factor a 1.</t>
        </r>
      </text>
    </comment>
    <comment ref="C71" authorId="0" shapeId="0" xr:uid="{00000000-0006-0000-0200-000002000000}">
      <text>
        <r>
          <rPr>
            <b/>
            <sz val="9"/>
            <color indexed="81"/>
            <rFont val="Tahoma"/>
            <family val="2"/>
          </rPr>
          <t>La numerazione corrisponde a quella di Mission Hub.</t>
        </r>
      </text>
    </comment>
    <comment ref="H71" authorId="0" shapeId="0" xr:uid="{00000000-0006-0000-0200-000003000000}">
      <text>
        <r>
          <rPr>
            <b/>
            <sz val="9"/>
            <color indexed="81"/>
            <rFont val="Tahoma"/>
            <family val="2"/>
          </rPr>
          <t xml:space="preserve">La numerazione corrisponde a quella dello schema di calcolo, quindi l'ordine dei WP è stato cambiato a seconda della direzione delle strisciate.
</t>
        </r>
      </text>
    </comment>
    <comment ref="B107" authorId="0" shapeId="0" xr:uid="{00000000-0006-0000-0200-000004000000}">
      <text>
        <r>
          <rPr>
            <b/>
            <sz val="9"/>
            <color indexed="81"/>
            <rFont val="Tahoma"/>
            <family val="2"/>
          </rPr>
          <t>Variazione di longitudine passando da 2 a 3.</t>
        </r>
      </text>
    </comment>
    <comment ref="C107" authorId="0" shapeId="0" xr:uid="{00000000-0006-0000-0200-000005000000}">
      <text>
        <r>
          <rPr>
            <b/>
            <sz val="9"/>
            <color indexed="81"/>
            <rFont val="Tahoma"/>
            <family val="2"/>
          </rPr>
          <t>Angolo rispetto al nord del segmento 2-3.</t>
        </r>
      </text>
    </comment>
    <comment ref="E107" authorId="0" shapeId="0" xr:uid="{00000000-0006-0000-0200-000006000000}">
      <text>
        <r>
          <rPr>
            <b/>
            <sz val="9"/>
            <color indexed="81"/>
            <rFont val="Tahoma"/>
            <family val="2"/>
          </rPr>
          <t>Lunghezza del segmento 2-3.</t>
        </r>
      </text>
    </comment>
    <comment ref="P138" authorId="1" shapeId="0" xr:uid="{00000000-0006-0000-0200-000007000000}">
      <text>
        <r>
          <rPr>
            <b/>
            <sz val="9"/>
            <color indexed="81"/>
            <rFont val="Tahoma"/>
            <family val="2"/>
          </rPr>
          <t>E' il numero del waypoint nella rotta globale data dall'unione delle due rotte.</t>
        </r>
        <r>
          <rPr>
            <sz val="9"/>
            <color indexed="81"/>
            <rFont val="Tahoma"/>
            <family val="2"/>
          </rPr>
          <t xml:space="preserve">
</t>
        </r>
      </text>
    </comment>
    <comment ref="C241" authorId="0" shapeId="0" xr:uid="{00000000-0006-0000-0200-000008000000}">
      <text>
        <r>
          <rPr>
            <b/>
            <sz val="9"/>
            <color indexed="81"/>
            <rFont val="Tahoma"/>
            <family val="2"/>
          </rPr>
          <t>La numerazione corrisponde a quella di Mission Hub.</t>
        </r>
      </text>
    </comment>
    <comment ref="P241" authorId="0" shapeId="0" xr:uid="{00000000-0006-0000-0200-000009000000}">
      <text>
        <r>
          <rPr>
            <b/>
            <sz val="9"/>
            <color indexed="81"/>
            <rFont val="Tahoma"/>
            <family val="2"/>
          </rPr>
          <t>La numerazione corrisponde a quella di Mission Hub.</t>
        </r>
      </text>
    </comment>
    <comment ref="N250" authorId="0" shapeId="0" xr:uid="{00000000-0006-0000-0200-00000A000000}">
      <text>
        <r>
          <rPr>
            <b/>
            <sz val="9"/>
            <color indexed="81"/>
            <rFont val="Tahoma"/>
            <family val="2"/>
          </rPr>
          <t>Calcolata con la formula di Gauss.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Giampaolo</author>
    <author>Utente</author>
  </authors>
  <commentList>
    <comment ref="C8" authorId="0" shapeId="0" xr:uid="{00000000-0006-0000-0300-000001000000}">
      <text>
        <r>
          <rPr>
            <b/>
            <sz val="9"/>
            <color indexed="81"/>
            <rFont val="Tahoma"/>
            <family val="2"/>
          </rPr>
          <t>La numerazione corrisponde a quella di Mission Hub.</t>
        </r>
      </text>
    </comment>
    <comment ref="H8" authorId="0" shapeId="0" xr:uid="{00000000-0006-0000-0300-000002000000}">
      <text>
        <r>
          <rPr>
            <b/>
            <sz val="9"/>
            <color indexed="81"/>
            <rFont val="Tahoma"/>
            <family val="2"/>
          </rPr>
          <t xml:space="preserve">La numerazione corrisponde a quella dello schema di calcolo, quindi l'ordine dei WP è stato cambiato a seconda della direzione delle strisciate.
</t>
        </r>
      </text>
    </comment>
    <comment ref="B44" authorId="0" shapeId="0" xr:uid="{00000000-0006-0000-0300-000003000000}">
      <text>
        <r>
          <rPr>
            <b/>
            <sz val="9"/>
            <color indexed="81"/>
            <rFont val="Tahoma"/>
            <family val="2"/>
          </rPr>
          <t>Variazione di longitudine passando da 2 a 3.</t>
        </r>
      </text>
    </comment>
    <comment ref="C44" authorId="0" shapeId="0" xr:uid="{00000000-0006-0000-0300-000004000000}">
      <text>
        <r>
          <rPr>
            <b/>
            <sz val="9"/>
            <color indexed="81"/>
            <rFont val="Tahoma"/>
            <family val="2"/>
          </rPr>
          <t>Angolo rispetto al nord del segmento 2-3.</t>
        </r>
      </text>
    </comment>
    <comment ref="E44" authorId="0" shapeId="0" xr:uid="{00000000-0006-0000-0300-000005000000}">
      <text>
        <r>
          <rPr>
            <b/>
            <sz val="9"/>
            <color indexed="81"/>
            <rFont val="Tahoma"/>
            <family val="2"/>
          </rPr>
          <t>Lunghezza del segmento 2-3.</t>
        </r>
      </text>
    </comment>
    <comment ref="P75" authorId="1" shapeId="0" xr:uid="{00000000-0006-0000-0300-000006000000}">
      <text>
        <r>
          <rPr>
            <b/>
            <sz val="9"/>
            <color indexed="81"/>
            <rFont val="Tahoma"/>
            <family val="2"/>
          </rPr>
          <t>E' il numero del waypoint nella rotta globale data dall'unione delle due rotte.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Giampaolo</author>
    <author>Utente</author>
  </authors>
  <commentList>
    <comment ref="D6" authorId="0" shapeId="0" xr:uid="{00000000-0006-0000-0400-000001000000}">
      <text>
        <r>
          <rPr>
            <b/>
            <sz val="9"/>
            <color indexed="81"/>
            <rFont val="Tahoma"/>
            <family val="2"/>
          </rPr>
          <t>La numerazione corrisponde a quella di Mission Hub.</t>
        </r>
      </text>
    </comment>
    <comment ref="G6" authorId="1" shapeId="0" xr:uid="{00000000-0006-0000-0400-000002000000}">
      <text>
        <r>
          <rPr>
            <b/>
            <sz val="9"/>
            <color indexed="81"/>
            <rFont val="Tahoma"/>
            <family val="2"/>
          </rPr>
          <t>Distanza dei punti che delimitano l'area di rilievo dall'ultimo punto della rotta 1.</t>
        </r>
      </text>
    </comment>
    <comment ref="D13" authorId="1" shapeId="0" xr:uid="{00000000-0006-0000-0400-000003000000}">
      <text>
        <r>
          <rPr>
            <b/>
            <sz val="9"/>
            <color indexed="81"/>
            <rFont val="Tahoma"/>
            <family val="2"/>
          </rPr>
          <t>Dall'intersezione tra righe e colonne si estrae il CONTROLLO DIREZIONE DELLE STRISCIATE DELLA ROTTA 2. Tale valore viene scelto in base:
- Al punto più vicino che delimita l'area del rilievo, rispetto all'ultimo waypoint della rotta 1 (intestazione delle colonne).
- In base al controllo della direzione della prima strisciata della rotta 1 (intestazione delle righe). 
In pratica, se scelgo che la direzione della prima strisciata sia da 2 verso 3, il controllo della direzione delle strisciate della rotta 1 restituirà 1. L'ultimo waypoint della rotta 1 potrà essere vicino al punto 4 o al punto 5. Vengono calcolate le relative distanze e scelto il punto più vicino come punto di inizio della prima strisciata della rotta 2. Se viene scelto 4, la direzione sarà da 4 verso 3; se viene scelto 5, la prima strisciata sarà da 5 verso 2. Dalla tabella viene estratto il valore del controllo che identifica la direzione della prima strisciata della rotta 2.</t>
        </r>
      </text>
    </comment>
    <comment ref="B27" authorId="1" shapeId="0" xr:uid="{00000000-0006-0000-0400-000004000000}">
      <text>
        <r>
          <rPr>
            <b/>
            <sz val="9"/>
            <color indexed="81"/>
            <rFont val="Tahoma"/>
            <family val="2"/>
          </rPr>
          <t>E' il numero del waypoint nella rotta globale data dall'unione delle due rotte.</t>
        </r>
        <r>
          <rPr>
            <sz val="9"/>
            <color indexed="81"/>
            <rFont val="Tahoma"/>
            <family val="2"/>
          </rPr>
          <t xml:space="preserve">
</t>
        </r>
      </text>
    </comment>
    <comment ref="H27" authorId="1" shapeId="0" xr:uid="{00000000-0006-0000-0400-000005000000}">
      <text>
        <r>
          <rPr>
            <b/>
            <sz val="9"/>
            <color indexed="81"/>
            <rFont val="Tahoma"/>
            <family val="2"/>
          </rPr>
          <t>E' il numero del waypoint nella rotta globale data dall'unione delle due rotte.</t>
        </r>
        <r>
          <rPr>
            <sz val="9"/>
            <color indexed="81"/>
            <rFont val="Tahoma"/>
            <family val="2"/>
          </rPr>
          <t xml:space="preserve">
</t>
        </r>
      </text>
    </comment>
    <comment ref="C128" authorId="1" shapeId="0" xr:uid="{00000000-0006-0000-0400-000006000000}">
      <text>
        <r>
          <rPr>
            <b/>
            <sz val="9"/>
            <color indexed="81"/>
            <rFont val="Tahoma"/>
            <family val="2"/>
          </rPr>
          <t>Attenzione alle formule da qui in poi. Le prime due righe si possono trascinare, mentre quelle sotto hanno formule diverse dalle prime due e si ripetono a coppie di righe. NON TRASCINARE.</t>
        </r>
      </text>
    </comment>
  </commentList>
</comments>
</file>

<file path=xl/sharedStrings.xml><?xml version="1.0" encoding="utf-8"?>
<sst xmlns="http://schemas.openxmlformats.org/spreadsheetml/2006/main" count="766" uniqueCount="321">
  <si>
    <t>latitude</t>
  </si>
  <si>
    <t>longitude</t>
  </si>
  <si>
    <t>altitude(m)</t>
  </si>
  <si>
    <t>heading(deg)</t>
  </si>
  <si>
    <t>curvesize(m)</t>
  </si>
  <si>
    <t>rotationdir</t>
  </si>
  <si>
    <t>gimbalmode</t>
  </si>
  <si>
    <t>gimbalpitchangle</t>
  </si>
  <si>
    <t>actiontype1</t>
  </si>
  <si>
    <t>actionparam1</t>
  </si>
  <si>
    <t>actiontype2</t>
  </si>
  <si>
    <t>actionparam2</t>
  </si>
  <si>
    <t>actiontype3</t>
  </si>
  <si>
    <t>actionparam3</t>
  </si>
  <si>
    <t>actiontype4</t>
  </si>
  <si>
    <t>actionparam4</t>
  </si>
  <si>
    <t>actiontype5</t>
  </si>
  <si>
    <t>actionparam5</t>
  </si>
  <si>
    <t>actiontype6</t>
  </si>
  <si>
    <t>actionparam6</t>
  </si>
  <si>
    <t>actiontype7</t>
  </si>
  <si>
    <t>actionparam7</t>
  </si>
  <si>
    <t>actiontype8</t>
  </si>
  <si>
    <t>actionparam8</t>
  </si>
  <si>
    <t>actiontype9</t>
  </si>
  <si>
    <t>actionparam9</t>
  </si>
  <si>
    <t>actiontype10</t>
  </si>
  <si>
    <t>actionparam10</t>
  </si>
  <si>
    <t>actiontype11</t>
  </si>
  <si>
    <t>actionparam11</t>
  </si>
  <si>
    <t>actiontype12</t>
  </si>
  <si>
    <t>actionparam12</t>
  </si>
  <si>
    <t>actiontype13</t>
  </si>
  <si>
    <t>actionparam13</t>
  </si>
  <si>
    <t>actiontype14</t>
  </si>
  <si>
    <t>actionparam14</t>
  </si>
  <si>
    <t>actiontype15</t>
  </si>
  <si>
    <t>actionparam15</t>
  </si>
  <si>
    <t>altitudemode</t>
  </si>
  <si>
    <t>speed(m/s)</t>
  </si>
  <si>
    <t>poi_latitude</t>
  </si>
  <si>
    <t>poi_longitude</t>
  </si>
  <si>
    <t>poi_altitude(m)</t>
  </si>
  <si>
    <t>poi_altitudemode</t>
  </si>
  <si>
    <t>photo_timeinterval</t>
  </si>
  <si>
    <t>photo_distinterval</t>
  </si>
  <si>
    <t>a =</t>
  </si>
  <si>
    <t>m</t>
  </si>
  <si>
    <t>raggio equatoriale</t>
  </si>
  <si>
    <t>b =</t>
  </si>
  <si>
    <t>raggio polare</t>
  </si>
  <si>
    <t>1/f =</t>
  </si>
  <si>
    <t>fattore di schiacciamento</t>
  </si>
  <si>
    <t>R =</t>
  </si>
  <si>
    <t>raggio quadratico medio</t>
  </si>
  <si>
    <t>° =</t>
  </si>
  <si>
    <t>rad</t>
  </si>
  <si>
    <t>°</t>
  </si>
  <si>
    <t>ELLISSOIDE WGS 84</t>
  </si>
  <si>
    <t>H =</t>
  </si>
  <si>
    <t>mm</t>
  </si>
  <si>
    <t>imH</t>
  </si>
  <si>
    <t>d =</t>
  </si>
  <si>
    <t>imW</t>
  </si>
  <si>
    <t>lunghezza focale reale della fotocamera</t>
  </si>
  <si>
    <t>imW =</t>
  </si>
  <si>
    <t>pixel</t>
  </si>
  <si>
    <r>
      <t>larghezza foto (</t>
    </r>
    <r>
      <rPr>
        <b/>
        <sz val="11"/>
        <color theme="1"/>
        <rFont val="Calibri"/>
        <family val="2"/>
        <scheme val="minor"/>
      </rPr>
      <t>lato perpendicolare alla direzione del moto</t>
    </r>
    <r>
      <rPr>
        <sz val="11"/>
        <color theme="1"/>
        <rFont val="Calibri"/>
        <family val="2"/>
        <scheme val="minor"/>
      </rPr>
      <t>)</t>
    </r>
  </si>
  <si>
    <t>imH =</t>
  </si>
  <si>
    <r>
      <t>altezza foto (</t>
    </r>
    <r>
      <rPr>
        <b/>
        <sz val="11"/>
        <color theme="1"/>
        <rFont val="Calibri"/>
        <family val="2"/>
        <scheme val="minor"/>
      </rPr>
      <t>lato lungo la direzione del moto</t>
    </r>
    <r>
      <rPr>
        <sz val="11"/>
        <color theme="1"/>
        <rFont val="Calibri"/>
        <family val="2"/>
        <scheme val="minor"/>
      </rPr>
      <t>)</t>
    </r>
  </si>
  <si>
    <t>QUOTA DI VOLO E GSD</t>
  </si>
  <si>
    <t>GSD richiesto =</t>
  </si>
  <si>
    <t>cm/pixel</t>
  </si>
  <si>
    <t>GSD (ground sample distance) richiesto</t>
  </si>
  <si>
    <t>H max =</t>
  </si>
  <si>
    <r>
      <t xml:space="preserve">altezza di volo </t>
    </r>
    <r>
      <rPr>
        <b/>
        <sz val="11"/>
        <color theme="1"/>
        <rFont val="Calibri"/>
        <family val="2"/>
        <scheme val="minor"/>
      </rPr>
      <t>massima</t>
    </r>
    <r>
      <rPr>
        <sz val="11"/>
        <color theme="1"/>
        <rFont val="Calibri"/>
        <family val="2"/>
        <scheme val="minor"/>
      </rPr>
      <t xml:space="preserve"> impostabile per garantire il GSD</t>
    </r>
  </si>
  <si>
    <t>altezza di volo impostata</t>
  </si>
  <si>
    <t>GSD reale =</t>
  </si>
  <si>
    <t>GSD reale</t>
  </si>
  <si>
    <t>larghezza foto a terra =</t>
  </si>
  <si>
    <t>lato perpendicolare alla direzione del moto</t>
  </si>
  <si>
    <t>altezza foto a terra =</t>
  </si>
  <si>
    <t>lato lungo la direzione del moto</t>
  </si>
  <si>
    <t>VELOCITA' DELL'APR E DISTANZA TRA GLI SCATTI</t>
  </si>
  <si>
    <t>percentuale di sovrapposizione longitudinale richiesta =</t>
  </si>
  <si>
    <t>intervallo tra gli scatti =</t>
  </si>
  <si>
    <t>s</t>
  </si>
  <si>
    <t>distanza tra due scatti consecutivi =</t>
  </si>
  <si>
    <r>
      <t xml:space="preserve">velocità </t>
    </r>
    <r>
      <rPr>
        <b/>
        <sz val="11"/>
        <color theme="1"/>
        <rFont val="Calibri"/>
        <family val="2"/>
        <scheme val="minor"/>
      </rPr>
      <t>massima</t>
    </r>
    <r>
      <rPr>
        <sz val="11"/>
        <color theme="1"/>
        <rFont val="Calibri"/>
        <family val="2"/>
        <scheme val="minor"/>
      </rPr>
      <t xml:space="preserve"> dell'APR impostabile =</t>
    </r>
  </si>
  <si>
    <t>m/s</t>
  </si>
  <si>
    <t>velocità dell'APR impostata =</t>
  </si>
  <si>
    <t>m/s   =</t>
  </si>
  <si>
    <t>distanza reale tra due scatti consecutivi =</t>
  </si>
  <si>
    <t>percentuale di sovrapposizione longitudinale reale =</t>
  </si>
  <si>
    <t>DISTANZA TRA LE STRISCIATE PARALLELE</t>
  </si>
  <si>
    <t>percentuale di sovrapposizione trasversale richiesta =</t>
  </si>
  <si>
    <t>distanza massima tra le strisciate impostabile =</t>
  </si>
  <si>
    <t>distanza tra le strisciate impostato =</t>
  </si>
  <si>
    <t>percentuale di sovrapposizione trasversale reale =</t>
  </si>
  <si>
    <t>n° WP</t>
  </si>
  <si>
    <r>
      <rPr>
        <sz val="11"/>
        <color theme="1"/>
        <rFont val="Symbol"/>
        <family val="1"/>
        <charset val="2"/>
      </rPr>
      <t>l</t>
    </r>
    <r>
      <rPr>
        <sz val="11"/>
        <color theme="1"/>
        <rFont val="Calibri"/>
        <family val="2"/>
        <scheme val="minor"/>
      </rPr>
      <t xml:space="preserve"> WP</t>
    </r>
  </si>
  <si>
    <r>
      <rPr>
        <sz val="11"/>
        <color theme="1"/>
        <rFont val="Symbol"/>
        <family val="1"/>
        <charset val="2"/>
      </rPr>
      <t>f</t>
    </r>
    <r>
      <rPr>
        <sz val="11"/>
        <color theme="1"/>
        <rFont val="Calibri"/>
        <family val="2"/>
        <scheme val="minor"/>
      </rPr>
      <t xml:space="preserve"> WP</t>
    </r>
  </si>
  <si>
    <t>n° strisciata</t>
  </si>
  <si>
    <r>
      <rPr>
        <sz val="11"/>
        <color theme="1"/>
        <rFont val="Symbol"/>
        <family val="1"/>
        <charset val="2"/>
      </rPr>
      <t>Dl</t>
    </r>
    <r>
      <rPr>
        <sz val="11"/>
        <color theme="1"/>
        <rFont val="Arial"/>
        <family val="2"/>
      </rPr>
      <t>23</t>
    </r>
  </si>
  <si>
    <r>
      <rPr>
        <sz val="11"/>
        <color theme="1"/>
        <rFont val="Symbol"/>
        <family val="1"/>
        <charset val="2"/>
      </rPr>
      <t>Df</t>
    </r>
    <r>
      <rPr>
        <sz val="11"/>
        <color theme="1"/>
        <rFont val="Arial"/>
        <family val="2"/>
      </rPr>
      <t>23</t>
    </r>
  </si>
  <si>
    <r>
      <t>q</t>
    </r>
    <r>
      <rPr>
        <sz val="11"/>
        <color theme="1"/>
        <rFont val="Arial"/>
        <family val="2"/>
      </rPr>
      <t>23</t>
    </r>
  </si>
  <si>
    <t>L23</t>
  </si>
  <si>
    <t>L34</t>
  </si>
  <si>
    <r>
      <t>q</t>
    </r>
    <r>
      <rPr>
        <sz val="11"/>
        <color theme="1"/>
        <rFont val="Arial"/>
        <family val="2"/>
      </rPr>
      <t>34</t>
    </r>
  </si>
  <si>
    <r>
      <rPr>
        <sz val="11"/>
        <color theme="1"/>
        <rFont val="Symbol"/>
        <family val="1"/>
        <charset val="2"/>
      </rPr>
      <t>Df</t>
    </r>
    <r>
      <rPr>
        <sz val="11"/>
        <color theme="1"/>
        <rFont val="Arial"/>
        <family val="2"/>
      </rPr>
      <t>34</t>
    </r>
  </si>
  <si>
    <r>
      <rPr>
        <sz val="11"/>
        <color theme="1"/>
        <rFont val="Symbol"/>
        <family val="1"/>
        <charset val="2"/>
      </rPr>
      <t>Dl</t>
    </r>
    <r>
      <rPr>
        <sz val="11"/>
        <color theme="1"/>
        <rFont val="Arial"/>
        <family val="2"/>
      </rPr>
      <t>34</t>
    </r>
  </si>
  <si>
    <r>
      <rPr>
        <sz val="11"/>
        <color theme="1"/>
        <rFont val="Symbol"/>
        <family val="1"/>
        <charset val="2"/>
      </rPr>
      <t>Dl</t>
    </r>
    <r>
      <rPr>
        <sz val="11"/>
        <color theme="1"/>
        <rFont val="Arial"/>
        <family val="2"/>
      </rPr>
      <t>25</t>
    </r>
  </si>
  <si>
    <r>
      <rPr>
        <sz val="11"/>
        <color theme="1"/>
        <rFont val="Symbol"/>
        <family val="1"/>
        <charset val="2"/>
      </rPr>
      <t>Df</t>
    </r>
    <r>
      <rPr>
        <sz val="11"/>
        <color theme="1"/>
        <rFont val="Arial"/>
        <family val="2"/>
      </rPr>
      <t>25</t>
    </r>
  </si>
  <si>
    <r>
      <t>q</t>
    </r>
    <r>
      <rPr>
        <sz val="11"/>
        <color theme="1"/>
        <rFont val="Arial"/>
        <family val="2"/>
      </rPr>
      <t>25</t>
    </r>
  </si>
  <si>
    <t>L25</t>
  </si>
  <si>
    <r>
      <t>q</t>
    </r>
    <r>
      <rPr>
        <sz val="11"/>
        <color theme="1"/>
        <rFont val="Arial"/>
        <family val="2"/>
      </rPr>
      <t>54</t>
    </r>
  </si>
  <si>
    <r>
      <rPr>
        <sz val="11"/>
        <color theme="1"/>
        <rFont val="Symbol"/>
        <family val="1"/>
        <charset val="2"/>
      </rPr>
      <t>l</t>
    </r>
    <r>
      <rPr>
        <sz val="11"/>
        <color theme="1"/>
        <rFont val="Calibri"/>
        <family val="2"/>
        <scheme val="minor"/>
      </rPr>
      <t>WP</t>
    </r>
  </si>
  <si>
    <r>
      <rPr>
        <sz val="11"/>
        <color theme="1"/>
        <rFont val="Symbol"/>
        <family val="1"/>
        <charset val="2"/>
      </rPr>
      <t>f</t>
    </r>
    <r>
      <rPr>
        <sz val="11"/>
        <color theme="1"/>
        <rFont val="Calibri"/>
        <family val="2"/>
        <scheme val="minor"/>
      </rPr>
      <t>WP</t>
    </r>
  </si>
  <si>
    <r>
      <t>q</t>
    </r>
    <r>
      <rPr>
        <sz val="11"/>
        <color theme="1"/>
        <rFont val="Arial"/>
        <family val="2"/>
      </rPr>
      <t>3 =</t>
    </r>
  </si>
  <si>
    <t>d34 =</t>
  </si>
  <si>
    <r>
      <t>q</t>
    </r>
    <r>
      <rPr>
        <sz val="11"/>
        <color theme="1"/>
        <rFont val="Arial"/>
        <family val="2"/>
      </rPr>
      <t>2 =</t>
    </r>
  </si>
  <si>
    <t>d25 =</t>
  </si>
  <si>
    <r>
      <rPr>
        <sz val="11"/>
        <color theme="1"/>
        <rFont val="Symbol"/>
        <family val="1"/>
        <charset val="2"/>
      </rPr>
      <t>a</t>
    </r>
    <r>
      <rPr>
        <sz val="11"/>
        <color theme="1"/>
        <rFont val="Calibri"/>
        <family val="2"/>
        <scheme val="minor"/>
      </rPr>
      <t xml:space="preserve"> =</t>
    </r>
  </si>
  <si>
    <r>
      <rPr>
        <sz val="11"/>
        <color theme="1"/>
        <rFont val="Symbol"/>
        <family val="1"/>
        <charset val="2"/>
      </rPr>
      <t>b</t>
    </r>
    <r>
      <rPr>
        <sz val="11"/>
        <color theme="1"/>
        <rFont val="Calibri"/>
        <family val="2"/>
        <scheme val="minor"/>
      </rPr>
      <t xml:space="preserve"> =</t>
    </r>
  </si>
  <si>
    <t>dA; dC</t>
  </si>
  <si>
    <t>d5A; d4C</t>
  </si>
  <si>
    <t>dA/R; dC/R</t>
  </si>
  <si>
    <r>
      <rPr>
        <sz val="11"/>
        <color theme="1"/>
        <rFont val="Symbol"/>
        <family val="1"/>
        <charset val="2"/>
      </rPr>
      <t>d</t>
    </r>
    <r>
      <rPr>
        <sz val="11"/>
        <color theme="1"/>
        <rFont val="Calibri"/>
        <family val="2"/>
        <scheme val="minor"/>
      </rPr>
      <t xml:space="preserve"> =</t>
    </r>
  </si>
  <si>
    <r>
      <rPr>
        <sz val="11"/>
        <color theme="1"/>
        <rFont val="Symbol"/>
        <family val="1"/>
        <charset val="2"/>
      </rPr>
      <t>c</t>
    </r>
    <r>
      <rPr>
        <sz val="11"/>
        <color theme="1"/>
        <rFont val="Calibri"/>
        <family val="2"/>
        <scheme val="minor"/>
      </rPr>
      <t xml:space="preserve"> =</t>
    </r>
  </si>
  <si>
    <r>
      <t>q</t>
    </r>
    <r>
      <rPr>
        <sz val="11"/>
        <color theme="1"/>
        <rFont val="Arial"/>
        <family val="2"/>
      </rPr>
      <t>45</t>
    </r>
  </si>
  <si>
    <r>
      <rPr>
        <sz val="11"/>
        <rFont val="Symbol"/>
        <family val="1"/>
        <charset val="2"/>
      </rPr>
      <t>l</t>
    </r>
    <r>
      <rPr>
        <sz val="11"/>
        <rFont val="Calibri"/>
        <family val="2"/>
        <scheme val="minor"/>
      </rPr>
      <t xml:space="preserve"> WP</t>
    </r>
  </si>
  <si>
    <r>
      <rPr>
        <sz val="11"/>
        <rFont val="Symbol"/>
        <family val="1"/>
        <charset val="2"/>
      </rPr>
      <t>f</t>
    </r>
    <r>
      <rPr>
        <sz val="11"/>
        <rFont val="Calibri"/>
        <family val="2"/>
        <scheme val="minor"/>
      </rPr>
      <t xml:space="preserve"> WP</t>
    </r>
  </si>
  <si>
    <r>
      <t>q</t>
    </r>
    <r>
      <rPr>
        <sz val="11"/>
        <rFont val="Arial"/>
        <family val="2"/>
      </rPr>
      <t>23</t>
    </r>
  </si>
  <si>
    <r>
      <t>q</t>
    </r>
    <r>
      <rPr>
        <sz val="11"/>
        <rFont val="Arial"/>
        <family val="2"/>
      </rPr>
      <t>34</t>
    </r>
  </si>
  <si>
    <r>
      <t>q</t>
    </r>
    <r>
      <rPr>
        <sz val="11"/>
        <rFont val="Arial"/>
        <family val="2"/>
      </rPr>
      <t>25</t>
    </r>
  </si>
  <si>
    <r>
      <t>q</t>
    </r>
    <r>
      <rPr>
        <sz val="11"/>
        <rFont val="Arial"/>
        <family val="2"/>
      </rPr>
      <t>54</t>
    </r>
  </si>
  <si>
    <r>
      <t>q</t>
    </r>
    <r>
      <rPr>
        <sz val="11"/>
        <rFont val="Arial"/>
        <family val="2"/>
      </rPr>
      <t>45</t>
    </r>
  </si>
  <si>
    <r>
      <rPr>
        <sz val="11"/>
        <rFont val="Symbol"/>
        <family val="1"/>
        <charset val="2"/>
      </rPr>
      <t>l</t>
    </r>
    <r>
      <rPr>
        <sz val="11"/>
        <rFont val="Calibri"/>
        <family val="2"/>
        <scheme val="minor"/>
      </rPr>
      <t>WP</t>
    </r>
  </si>
  <si>
    <r>
      <rPr>
        <sz val="11"/>
        <rFont val="Symbol"/>
        <family val="1"/>
        <charset val="2"/>
      </rPr>
      <t>f</t>
    </r>
    <r>
      <rPr>
        <sz val="11"/>
        <rFont val="Calibri"/>
        <family val="2"/>
        <scheme val="minor"/>
      </rPr>
      <t>WP</t>
    </r>
  </si>
  <si>
    <r>
      <rPr>
        <sz val="11"/>
        <color theme="1"/>
        <rFont val="Symbol"/>
        <family val="1"/>
        <charset val="2"/>
      </rPr>
      <t>Dl</t>
    </r>
    <r>
      <rPr>
        <sz val="11"/>
        <color theme="1"/>
        <rFont val="Arial"/>
        <family val="2"/>
      </rPr>
      <t>45</t>
    </r>
  </si>
  <si>
    <r>
      <rPr>
        <sz val="11"/>
        <color theme="1"/>
        <rFont val="Symbol"/>
        <family val="1"/>
        <charset val="2"/>
      </rPr>
      <t>Df</t>
    </r>
    <r>
      <rPr>
        <sz val="11"/>
        <color theme="1"/>
        <rFont val="Arial"/>
        <family val="2"/>
      </rPr>
      <t>45</t>
    </r>
  </si>
  <si>
    <t>L45</t>
  </si>
  <si>
    <t>pos. seconda virgola</t>
  </si>
  <si>
    <t>pos. prima virgola</t>
  </si>
  <si>
    <t>Punto di decollo.</t>
  </si>
  <si>
    <t>LATITUDINE</t>
  </si>
  <si>
    <t>LONGITUDINE</t>
  </si>
  <si>
    <t>DESCRIZIONE</t>
  </si>
  <si>
    <t>FILE .csv ESPORTATO DA MISSION HUB</t>
  </si>
  <si>
    <t>COORDINATE INSERITE MANUALMENTE</t>
  </si>
  <si>
    <t>g</t>
  </si>
  <si>
    <t>x</t>
  </si>
  <si>
    <t>y</t>
  </si>
  <si>
    <t>r</t>
  </si>
  <si>
    <t>Dl</t>
  </si>
  <si>
    <t>Df</t>
  </si>
  <si>
    <t>COORDINATE PER GRAFICO ROTTA</t>
  </si>
  <si>
    <t>COORDINATE PER GRAFICO AREA DI RILIEVO</t>
  </si>
  <si>
    <t>CONTROLLO FONTE DEI DATI</t>
  </si>
  <si>
    <t>n° WP di calcolo</t>
  </si>
  <si>
    <t>Punti che definiscono i limiti dell'area di rilievo.</t>
  </si>
  <si>
    <t>latitude,longitude,altitude(m),heading(deg),curvesize(m),rotationdir,gimbalmode,gimbalpitchangle,actiontype1,actionparam1,actiontype2,actionparam2,actiontype3,actionparam3,actiontype4,actionparam4,actiontype5,actionparam5,actiontype6,actionparam6,actiontype7,actionparam7,actiontype8,actionparam8,actiontype9,actionparam9,actiontype10,actionparam10,actiontype11,actionparam11,actiontype12,actionparam12,actiontype13,actionparam13,actiontype14,actionparam14,actiontype15,actionparam15,altitudemode,speed(m/s),poi_latitude,poi_longitude,poi_altitude(m),poi_altitudemode,photo_timeinterval,photo_distinterval</t>
  </si>
  <si>
    <t>Foglio di calcolo realizzato da:</t>
  </si>
  <si>
    <t>ing. Giampaolo Beretta</t>
  </si>
  <si>
    <t>CONTROLLO DIREZIONE DELLE STRISCIATE</t>
  </si>
  <si>
    <t>CALCOLO DELLA POSIZIONE DEI WAYPOINTS DI UNA ROTTA DA CARICARE IN LITCHI PER UN RILIEVO FOTOGRAMMETRICO</t>
  </si>
  <si>
    <t>DA 2 VERSO 3-STESSO SENSO DI PERCORRENZA</t>
  </si>
  <si>
    <t>DA 3 VERSO 4-STESSO SENSO DI PERCORRENZA</t>
  </si>
  <si>
    <t>DA 4 VERSO 5-STESSO SENSO DI PERCORRENZA</t>
  </si>
  <si>
    <t>DA 5 VERSO 2-STESSO SENSO DI PERCORRENZA</t>
  </si>
  <si>
    <t>DA 2 VERSO 5-SENSO DI PERCORRENZA INVERSO</t>
  </si>
  <si>
    <t>DA 5 VERSO 4-SENSO DI PERCORRENZA INVERSO</t>
  </si>
  <si>
    <t>DA 4 VERSO 3-SENSO DI PERCORRENZA INVERSO</t>
  </si>
  <si>
    <t>DA 3 VERSO 2-SENSO DI PERCORRENZA INVERSO</t>
  </si>
  <si>
    <t>CONTROLLO ALTEZZA DI VOLO</t>
  </si>
  <si>
    <t>CONTROLLO POSIZIONE DI SCATTO DELLE FOTO</t>
  </si>
  <si>
    <t>gimbal pitch =</t>
  </si>
  <si>
    <t>0 = vista orizzontale; -90 = vista nadirale</t>
  </si>
  <si>
    <t>Donate</t>
  </si>
  <si>
    <t>DIM. SENSORE</t>
  </si>
  <si>
    <t>1/2.3"</t>
  </si>
  <si>
    <t>1"</t>
  </si>
  <si>
    <t>Phantom 3 Std/4K/Adv/Pro (4:3)</t>
  </si>
  <si>
    <t>Phantom 3 Std/4K/Adv/Pro (16:9)</t>
  </si>
  <si>
    <t>Phantom 4 Std (4:3)</t>
  </si>
  <si>
    <t>Phantom 4 Std (16:9)</t>
  </si>
  <si>
    <t>Phantom 4 Adv/Pro/Pro V2.0 (3:2)</t>
  </si>
  <si>
    <t>Phantom 4 Adv/Pro/Pro V2.0 (4:3)</t>
  </si>
  <si>
    <t>Phantom 4 Adv/Pro/Pro V2.0 (16:9)</t>
  </si>
  <si>
    <t>Mavic Pro (4:3)</t>
  </si>
  <si>
    <t>Mavic Pro (16:9)</t>
  </si>
  <si>
    <t>Mavic Air (4:3)</t>
  </si>
  <si>
    <t>Mavic Air (16:9)</t>
  </si>
  <si>
    <t>MODELLO DJI</t>
  </si>
  <si>
    <t>Mavic 2 Pro (3:2)</t>
  </si>
  <si>
    <t>Mavic 2 Pro (4:3)</t>
  </si>
  <si>
    <t>Mavic 2 Zoom (4:3)</t>
  </si>
  <si>
    <t>Mavic 2 Zoom (16:9)</t>
  </si>
  <si>
    <t>24-48</t>
  </si>
  <si>
    <t>Zenmuse X3 (4:3)</t>
  </si>
  <si>
    <t>Zenmuse X3 (16:9)</t>
  </si>
  <si>
    <t>Zenmuse Z3 (4:3)</t>
  </si>
  <si>
    <t>Zenmuse Z3 (16:9)</t>
  </si>
  <si>
    <t>22-77</t>
  </si>
  <si>
    <t>12-45, esclusi 13, 43, 44</t>
  </si>
  <si>
    <t>Zenmuse X5/X5R (4:3)</t>
  </si>
  <si>
    <t>Zenmuse X5/X5R (16:9)</t>
  </si>
  <si>
    <t>Zenmuse X4S  (3:2)</t>
  </si>
  <si>
    <t>Zenmuse X4S  (4:3)</t>
  </si>
  <si>
    <t>Zenmuse X4S  (16:9)</t>
  </si>
  <si>
    <t>Zenmuse X5S  (4:3)</t>
  </si>
  <si>
    <t>Zenmuse X5S  (16:9)</t>
  </si>
  <si>
    <t>9-45, esclusi 43, 44</t>
  </si>
  <si>
    <t>Zenmuse X7  (4:3)</t>
  </si>
  <si>
    <t>23.5x15.7 mm</t>
  </si>
  <si>
    <t>16, 24, 35, 50</t>
  </si>
  <si>
    <t>Spark</t>
  </si>
  <si>
    <t>FR =</t>
  </si>
  <si>
    <t>d</t>
  </si>
  <si>
    <t>cf</t>
  </si>
  <si>
    <t>FR</t>
  </si>
  <si>
    <t>Zenmuse X7  (3:2)</t>
  </si>
  <si>
    <t>4/3</t>
  </si>
  <si>
    <t>CONTROLLO MODELLO DJI</t>
  </si>
  <si>
    <t>mq</t>
  </si>
  <si>
    <t>ha</t>
  </si>
  <si>
    <t xml:space="preserve">Superficie = </t>
  </si>
  <si>
    <t xml:space="preserve">Superficie dell'area di rilievo = </t>
  </si>
  <si>
    <t>mq =</t>
  </si>
  <si>
    <t>NUMERO COLONNA</t>
  </si>
  <si>
    <t>F35</t>
  </si>
  <si>
    <t>LARGH. FOTO
imW
[pixel]</t>
  </si>
  <si>
    <t>ALT. FOTO
imH
[pixel]</t>
  </si>
  <si>
    <t>LUNGH. FOCALE EQ. 35 mm IMPOSTABILE
[mm]</t>
  </si>
  <si>
    <t>LUNGHEZZA FOCALE REALE IMPOSTABILE
[mm]</t>
  </si>
  <si>
    <t>LUNGH. FOCALE EQ. 35 mm IMPOSTATA
F35 [mm]</t>
  </si>
  <si>
    <t>LUNGH. FOCALE REALE IMPOSTATA
FR [mm]</t>
  </si>
  <si>
    <t>Sw
[mm]</t>
  </si>
  <si>
    <t>Sh
[mm]</t>
  </si>
  <si>
    <t>d
[mm]</t>
  </si>
  <si>
    <t>Mavic 2 Pro (16:9)</t>
  </si>
  <si>
    <t>Zenmuse X7  (16:9)</t>
  </si>
  <si>
    <t>MODELLO DELL'APR O DELL'OTTICA DJI</t>
  </si>
  <si>
    <t>Sw</t>
  </si>
  <si>
    <t>Sh</t>
  </si>
  <si>
    <t>GSDw =</t>
  </si>
  <si>
    <t>GSDh =</t>
  </si>
  <si>
    <t>GSD =</t>
  </si>
  <si>
    <t>GSD calcolato sulla larghezza del sensore</t>
  </si>
  <si>
    <t>GSD calcolato sull'altezza del sensore</t>
  </si>
  <si>
    <t>GSD medio</t>
  </si>
  <si>
    <t>h
[mm/pixel]</t>
  </si>
  <si>
    <t>w
[mm/pixel]</t>
  </si>
  <si>
    <t>w</t>
  </si>
  <si>
    <t>h</t>
  </si>
  <si>
    <t>45.8629937123294,10.768091512662966,30,13.726973380875483,0.20000000298023224,0,0,0,-1,0,-1,0,-1,0,-1,0,-1,0,-1,0,-1,0,-1,0,-1,0,-1,0,-1,0,-1,0,-1,0,-1,0,-1,0,0,0,0,0,0,0,-1,-1</t>
  </si>
  <si>
    <t>45.86397244519919,10.768434835416873,30,119.09345683561945,40.717498779296875,0,0,0,-1,0,-1,0,-1,0,-1,0,-1,0,-1,0,-1,0,-1,0,-1,0,-1,0,-1,0,-1,0,-1,0,-1,0,-1,0,0,0,0,0,0,0,-1,-1</t>
  </si>
  <si>
    <t>45.86198507645879,10.773563219053347,30,20.788087845536232,46.3126220703125,0,0,0,-1,0,-1,0,-1,0,-1,0,-1,0,-1,0,-1,0,-1,0,-1,0,-1,0,-1,0,-1,0,-1,0,-1,0,-1,0,0,0,0,0,0,0,-1,-1</t>
  </si>
  <si>
    <t>45.86279198661917,10.77400310133179,30,315.3022216092275,46.3126220703125,0,0,0,-1,0,-1,0,-1,0,-1,0,-1,0,-1,0,-1,0,-1,0,-1,0,-1,0,-1,0,-1,0,-1,0,-1,0,-1,0,0,0,0,0,0,0,-1,-1</t>
  </si>
  <si>
    <t>45.865653434725225,10.769936872465212,30,0,0.20000000298023224,0,0,0,-1,0,-1,0,-1,0,-1,0,-1,0,-1,0,-1,0,-1,0,-1,0,-1,0,-1,0,-1,0,-1,0,-1,0,-1,0,0,0,0,0,0,0,-1,-1</t>
  </si>
  <si>
    <t>sec</t>
  </si>
  <si>
    <t>pixel =</t>
  </si>
  <si>
    <r>
      <rPr>
        <sz val="11"/>
        <color theme="1"/>
        <rFont val="Symbol"/>
        <family val="1"/>
        <charset val="2"/>
      </rPr>
      <t>m</t>
    </r>
    <r>
      <rPr>
        <sz val="11"/>
        <color theme="1"/>
        <rFont val="Calibri"/>
        <family val="2"/>
        <scheme val="minor"/>
      </rPr>
      <t>m</t>
    </r>
  </si>
  <si>
    <t>L</t>
  </si>
  <si>
    <t>Ltot =</t>
  </si>
  <si>
    <t>Lunghezza della rotta =</t>
  </si>
  <si>
    <t>ritardo dovuto alla svolta =</t>
  </si>
  <si>
    <t>min</t>
  </si>
  <si>
    <t>scatti</t>
  </si>
  <si>
    <t>Esclusi il percorso tra il punto di decollo ed il primo waypoint ed il percorso tra l'ultimo waypoint ed il punto di atterraggio.</t>
  </si>
  <si>
    <t>numero approssimativo di scatti =</t>
  </si>
  <si>
    <t>tempo approssimativo di volo =</t>
  </si>
  <si>
    <t>lunghezza totale della rotta</t>
  </si>
  <si>
    <t>Lsf =</t>
  </si>
  <si>
    <t>lunghezza del percorso con scatti fotografici</t>
  </si>
  <si>
    <t>numero di svolte</t>
  </si>
  <si>
    <t>ns =</t>
  </si>
  <si>
    <t>tempo di volo per compiere il percorso a serpentina</t>
  </si>
  <si>
    <t>tvs =</t>
  </si>
  <si>
    <t>STIMA DEL TEMPO DI VOLO E DEL NUMERO DI SCATTI</t>
  </si>
  <si>
    <t>dimensione di un pixel =</t>
  </si>
  <si>
    <t>tempo di scatto =</t>
  </si>
  <si>
    <r>
      <t>trascinamento sul sensore (</t>
    </r>
    <r>
      <rPr>
        <sz val="11"/>
        <color theme="1"/>
        <rFont val="Symbol"/>
        <family val="1"/>
        <charset val="2"/>
      </rPr>
      <t>l</t>
    </r>
    <r>
      <rPr>
        <sz val="11"/>
        <color theme="1"/>
        <rFont val="Calibri"/>
        <family val="2"/>
        <scheme val="minor"/>
      </rPr>
      <t>) =</t>
    </r>
  </si>
  <si>
    <t>cm a terra</t>
  </si>
  <si>
    <t>s     (0 = velocità costante lungo tutto il percorso)</t>
  </si>
  <si>
    <t>VERIFICA DELL'EFFETTO DI TRASCINAMENTO</t>
  </si>
  <si>
    <t>Mavic Mini (4:3)</t>
  </si>
  <si>
    <t>Mavic Mini (16:9)</t>
  </si>
  <si>
    <t>ROTTA 1</t>
  </si>
  <si>
    <t>ROTTA 2 DA QUI IN POI</t>
  </si>
  <si>
    <t>latitudine</t>
  </si>
  <si>
    <t>longitudine</t>
  </si>
  <si>
    <t>n° WP,rotte</t>
  </si>
  <si>
    <t>ULTIMO PUNTO ROTTA 1</t>
  </si>
  <si>
    <t>AREA DI RILIEVO</t>
  </si>
  <si>
    <t>CONTROLLO DIREZIONE DELLE STRISCIATE ROTTA 1</t>
  </si>
  <si>
    <t>DISTANZA DA PUNTO N°</t>
  </si>
  <si>
    <t>PUNTO PIU' VICINO</t>
  </si>
  <si>
    <t>CONTROLLO DIREZIONE DELLE STRISCIATE ROTTA 2</t>
  </si>
  <si>
    <t>NUMERO PRIMA RIGA VUOTA ROTTA 1</t>
  </si>
  <si>
    <t>CONTROLLO ROTTA A GRIGLIA</t>
  </si>
  <si>
    <t>Mini 2 (4:3)</t>
  </si>
  <si>
    <t>Mini 2 (16:9)</t>
  </si>
  <si>
    <t>Mini SE (4:3)</t>
  </si>
  <si>
    <t>Mini SE (16:9)</t>
  </si>
  <si>
    <t>Air 2S (3:2)</t>
  </si>
  <si>
    <t>Air 2S (16:9)</t>
  </si>
  <si>
    <t>Mavic Air 2 (12 MP)</t>
  </si>
  <si>
    <t>Mavic Air 2 (48 MP)</t>
  </si>
  <si>
    <t>1/2</t>
  </si>
  <si>
    <t>Zenmuse P1 (24 mm)</t>
  </si>
  <si>
    <t>Zenmuse P1 (35 mm)</t>
  </si>
  <si>
    <t>Zenmuse P1 (50 mm)</t>
  </si>
  <si>
    <t>full frame</t>
  </si>
  <si>
    <t>Mini 3 (4:3)</t>
  </si>
  <si>
    <t>1/1.3"</t>
  </si>
  <si>
    <t>Mavic 3 Pro (4:3)</t>
  </si>
  <si>
    <t>REV. 12-11-2023</t>
  </si>
  <si>
    <t>Foglio di calcolo non commerciabile.</t>
  </si>
  <si>
    <t>QUESTA VERSIONE DEL FOGLIO DI CALCOLO CONSENTE DI PIANIFICARE UNA ROTTA CON AL MASSIMO 5 WAYPOINTS.</t>
  </si>
  <si>
    <t>IL GRAFICO RIPORTATO NEL SEGUITO MOSTRA LA ROTTA CHE VERREBBE ESEGUITA CON UNA VERSIONE DEL FOGLIO DI CALCOLO SENZA RESTRIZIONI.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</si>
</sst>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0000"/>
    <numFmt numFmtId="165" formatCode="0.000000000"/>
    <numFmt numFmtId="166" formatCode="0.0"/>
    <numFmt numFmtId="167" formatCode="0.0%"/>
    <numFmt numFmtId="168" formatCode="0.000"/>
    <numFmt numFmtId="169" formatCode="0.000000E+00"/>
    <numFmt numFmtId="170" formatCode="0.00000000"/>
    <numFmt numFmtId="171" formatCode="0.0000"/>
    <numFmt numFmtId="172" formatCode="0.0000E+00"/>
    <numFmt numFmtId="173" formatCode="#.0&quot; Km/h&quot;"/>
    <numFmt numFmtId="174" formatCode="0.00000"/>
  </numFmts>
  <fonts count="39">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Symbol"/>
      <family val="1"/>
      <charset val="2"/>
    </font>
    <font>
      <sz val="11"/>
      <color theme="1"/>
      <name val="Arial"/>
      <family val="2"/>
    </font>
    <font>
      <sz val="11"/>
      <name val="Calibri"/>
      <family val="2"/>
      <scheme val="minor"/>
    </font>
    <font>
      <b/>
      <sz val="11"/>
      <color rgb="FFFF0000"/>
      <name val="Calibri"/>
      <family val="2"/>
      <scheme val="minor"/>
    </font>
    <font>
      <sz val="11"/>
      <color theme="1"/>
      <name val="Calibri"/>
      <family val="2"/>
    </font>
    <font>
      <b/>
      <sz val="9"/>
      <color indexed="81"/>
      <name val="Tahoma"/>
      <family val="2"/>
    </font>
    <font>
      <sz val="11"/>
      <name val="Symbol"/>
      <family val="1"/>
      <charset val="2"/>
    </font>
    <font>
      <sz val="11"/>
      <name val="Arial"/>
      <family val="2"/>
    </font>
    <font>
      <sz val="8"/>
      <color rgb="FF000000"/>
      <name val="Segoe UI"/>
      <family val="2"/>
    </font>
    <font>
      <sz val="11"/>
      <color theme="10"/>
      <name val="Calibri"/>
      <family val="2"/>
      <scheme val="minor"/>
    </font>
    <font>
      <u/>
      <sz val="11"/>
      <color theme="10"/>
      <name val="Calibri"/>
      <family val="2"/>
      <scheme val="minor"/>
    </font>
    <font>
      <b/>
      <sz val="13"/>
      <name val="Calibri"/>
      <family val="2"/>
      <scheme val="minor"/>
    </font>
    <font>
      <b/>
      <i/>
      <sz val="14"/>
      <color theme="4" tint="-0.499984740745262"/>
      <name val="Calibri"/>
      <family val="2"/>
      <scheme val="minor"/>
    </font>
    <font>
      <sz val="13"/>
      <color rgb="FF000000"/>
      <name val="Calibri"/>
      <family val="2"/>
      <scheme val="minor"/>
    </font>
    <font>
      <sz val="13"/>
      <color theme="1"/>
      <name val="Calibri"/>
      <family val="2"/>
      <scheme val="minor"/>
    </font>
    <font>
      <u/>
      <sz val="13"/>
      <color theme="10"/>
      <name val="Calibri"/>
      <family val="2"/>
      <scheme val="minor"/>
    </font>
    <font>
      <sz val="8"/>
      <name val="Calibri"/>
      <family val="2"/>
      <scheme val="minor"/>
    </font>
    <font>
      <b/>
      <sz val="12"/>
      <color theme="1"/>
      <name val="Calibri"/>
      <family val="2"/>
      <scheme val="minor"/>
    </font>
    <font>
      <sz val="12"/>
      <color theme="1"/>
      <name val="Calibri"/>
      <family val="2"/>
      <scheme val="minor"/>
    </font>
    <font>
      <sz val="11"/>
      <color theme="1"/>
      <name val="Calibri"/>
      <family val="1"/>
      <charset val="2"/>
      <scheme val="minor"/>
    </font>
    <font>
      <sz val="9"/>
      <color indexed="81"/>
      <name val="Tahoma"/>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rgb="FFFFFF00"/>
        <bgColor indexed="64"/>
      </patternFill>
    </fill>
    <fill>
      <patternFill patternType="solid">
        <fgColor theme="5" tint="0.39997558519241921"/>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xf numFmtId="0" fontId="27" fillId="0" borderId="0" applyNumberFormat="0" applyFill="0" applyBorder="0" applyAlignment="0" applyProtection="0"/>
  </cellStyleXfs>
  <cellXfs count="113">
    <xf numFmtId="0" fontId="0" fillId="0" borderId="0" xfId="0"/>
    <xf numFmtId="0" fontId="0" fillId="0" borderId="0" xfId="0" applyAlignment="1" applyProtection="1">
      <alignment horizontal="center"/>
      <protection locked="0"/>
    </xf>
    <xf numFmtId="0" fontId="0" fillId="0" borderId="0" xfId="0" applyProtection="1">
      <protection locked="0"/>
    </xf>
    <xf numFmtId="0" fontId="20" fillId="33" borderId="0" xfId="0" applyFont="1" applyFill="1" applyAlignment="1" applyProtection="1">
      <alignment horizontal="center"/>
      <protection locked="0"/>
    </xf>
    <xf numFmtId="2" fontId="20" fillId="0" borderId="0" xfId="0" applyNumberFormat="1" applyFont="1" applyAlignment="1">
      <alignment horizontal="center"/>
    </xf>
    <xf numFmtId="1" fontId="20" fillId="34" borderId="0" xfId="0" applyNumberFormat="1" applyFont="1" applyFill="1" applyAlignment="1">
      <alignment horizontal="center"/>
    </xf>
    <xf numFmtId="1" fontId="20" fillId="33" borderId="0" xfId="0" applyNumberFormat="1" applyFont="1" applyFill="1" applyAlignment="1" applyProtection="1">
      <alignment horizontal="center"/>
      <protection locked="0"/>
    </xf>
    <xf numFmtId="166" fontId="20" fillId="35" borderId="0" xfId="0" applyNumberFormat="1" applyFont="1" applyFill="1" applyAlignment="1">
      <alignment horizontal="center"/>
    </xf>
    <xf numFmtId="0" fontId="21" fillId="0" borderId="0" xfId="0" applyFont="1"/>
    <xf numFmtId="9" fontId="20" fillId="33" borderId="0" xfId="42" applyFont="1" applyFill="1" applyAlignment="1" applyProtection="1">
      <alignment horizontal="center"/>
      <protection locked="0"/>
    </xf>
    <xf numFmtId="166" fontId="20" fillId="0" borderId="0" xfId="0" applyNumberFormat="1" applyFont="1" applyAlignment="1">
      <alignment horizontal="center"/>
    </xf>
    <xf numFmtId="166" fontId="20" fillId="34" borderId="0" xfId="0" applyNumberFormat="1" applyFont="1" applyFill="1" applyAlignment="1">
      <alignment horizontal="center"/>
    </xf>
    <xf numFmtId="166" fontId="20" fillId="33" borderId="0" xfId="0" applyNumberFormat="1" applyFont="1" applyFill="1" applyAlignment="1" applyProtection="1">
      <alignment horizontal="center"/>
      <protection locked="0"/>
    </xf>
    <xf numFmtId="167" fontId="20" fillId="35" borderId="0" xfId="42" applyNumberFormat="1" applyFont="1" applyFill="1" applyAlignment="1" applyProtection="1">
      <alignment horizontal="center"/>
    </xf>
    <xf numFmtId="164" fontId="0" fillId="0" borderId="0" xfId="0" applyNumberFormat="1" applyAlignment="1">
      <alignment horizontal="center"/>
    </xf>
    <xf numFmtId="1" fontId="0" fillId="0" borderId="0" xfId="0" applyNumberFormat="1" applyAlignment="1">
      <alignment horizontal="center"/>
    </xf>
    <xf numFmtId="167" fontId="20" fillId="0" borderId="0" xfId="42" applyNumberFormat="1" applyFont="1" applyFill="1" applyAlignment="1" applyProtection="1">
      <alignment horizontal="center"/>
    </xf>
    <xf numFmtId="170" fontId="0" fillId="0" borderId="0" xfId="0" applyNumberFormat="1" applyAlignment="1" applyProtection="1">
      <alignment horizontal="center"/>
      <protection locked="0"/>
    </xf>
    <xf numFmtId="0" fontId="20" fillId="33" borderId="0" xfId="42" applyNumberFormat="1" applyFont="1" applyFill="1" applyAlignment="1" applyProtection="1">
      <alignment horizontal="center"/>
      <protection locked="0"/>
    </xf>
    <xf numFmtId="0" fontId="16" fillId="0" borderId="0" xfId="0" applyFont="1"/>
    <xf numFmtId="0" fontId="0" fillId="0" borderId="0" xfId="0" applyAlignment="1">
      <alignment horizontal="center"/>
    </xf>
    <xf numFmtId="0" fontId="20" fillId="0" borderId="0" xfId="0" applyFont="1" applyAlignment="1">
      <alignment horizontal="center"/>
    </xf>
    <xf numFmtId="0" fontId="0" fillId="0" borderId="0" xfId="0" applyAlignment="1">
      <alignment horizontal="right"/>
    </xf>
    <xf numFmtId="0" fontId="14" fillId="0" borderId="0" xfId="0" applyFont="1" applyAlignment="1">
      <alignment horizontal="center"/>
    </xf>
    <xf numFmtId="0" fontId="0" fillId="0" borderId="0" xfId="0" applyAlignment="1">
      <alignment vertical="center" wrapText="1"/>
    </xf>
    <xf numFmtId="0" fontId="0" fillId="0" borderId="0" xfId="0" applyAlignment="1">
      <alignment horizontal="center" vertical="center" wrapText="1"/>
    </xf>
    <xf numFmtId="0" fontId="35" fillId="0" borderId="0" xfId="0" applyFont="1"/>
    <xf numFmtId="2" fontId="0" fillId="0" borderId="0" xfId="0" applyNumberFormat="1" applyAlignment="1">
      <alignment horizontal="center"/>
    </xf>
    <xf numFmtId="172" fontId="20" fillId="33" borderId="0" xfId="0" applyNumberFormat="1" applyFont="1" applyFill="1" applyAlignment="1">
      <alignment horizontal="center"/>
    </xf>
    <xf numFmtId="173" fontId="0" fillId="0" borderId="0" xfId="0" applyNumberFormat="1" applyAlignment="1">
      <alignment horizontal="left"/>
    </xf>
    <xf numFmtId="1" fontId="20" fillId="0" borderId="0" xfId="0" applyNumberFormat="1" applyFont="1" applyAlignment="1">
      <alignment horizontal="center"/>
    </xf>
    <xf numFmtId="0" fontId="0" fillId="0" borderId="0" xfId="0" applyProtection="1">
      <protection hidden="1"/>
    </xf>
    <xf numFmtId="0" fontId="31" fillId="0" borderId="0" xfId="0" applyFont="1" applyProtection="1">
      <protection hidden="1"/>
    </xf>
    <xf numFmtId="0" fontId="32" fillId="0" borderId="0" xfId="0" applyFont="1" applyAlignment="1" applyProtection="1">
      <alignment horizontal="left"/>
      <protection hidden="1"/>
    </xf>
    <xf numFmtId="0" fontId="33" fillId="0" borderId="0" xfId="43" applyFont="1" applyAlignment="1" applyProtection="1">
      <protection hidden="1"/>
    </xf>
    <xf numFmtId="0" fontId="28" fillId="0" borderId="0" xfId="43" applyFont="1" applyAlignment="1" applyProtection="1">
      <alignment horizontal="left"/>
      <protection hidden="1"/>
    </xf>
    <xf numFmtId="0" fontId="0" fillId="0" borderId="0" xfId="0" applyAlignment="1" applyProtection="1">
      <alignment horizontal="left"/>
      <protection hidden="1"/>
    </xf>
    <xf numFmtId="0" fontId="29" fillId="0" borderId="0" xfId="0" applyFont="1" applyAlignment="1" applyProtection="1">
      <alignment horizontal="left"/>
      <protection hidden="1"/>
    </xf>
    <xf numFmtId="174" fontId="20" fillId="33" borderId="0" xfId="0" applyNumberFormat="1" applyFont="1" applyFill="1" applyAlignment="1" applyProtection="1">
      <alignment horizontal="center"/>
      <protection locked="0"/>
    </xf>
    <xf numFmtId="168" fontId="0" fillId="0" borderId="0" xfId="0" applyNumberFormat="1" applyAlignment="1">
      <alignment horizontal="center"/>
    </xf>
    <xf numFmtId="0" fontId="37" fillId="0" borderId="0" xfId="0" applyFont="1"/>
    <xf numFmtId="168" fontId="20" fillId="0" borderId="0" xfId="0" applyNumberFormat="1" applyFont="1" applyAlignment="1">
      <alignment horizontal="center"/>
    </xf>
    <xf numFmtId="166" fontId="0" fillId="0" borderId="0" xfId="0" applyNumberFormat="1" applyAlignment="1">
      <alignment horizontal="center"/>
    </xf>
    <xf numFmtId="174" fontId="20" fillId="0" borderId="0" xfId="0" applyNumberFormat="1" applyFont="1" applyAlignment="1">
      <alignment horizontal="center"/>
    </xf>
    <xf numFmtId="0" fontId="0" fillId="35" borderId="0" xfId="0" applyFill="1" applyAlignment="1">
      <alignment horizontal="center"/>
    </xf>
    <xf numFmtId="166" fontId="0" fillId="0" borderId="0" xfId="0" applyNumberFormat="1" applyAlignment="1">
      <alignment horizontal="left"/>
    </xf>
    <xf numFmtId="0" fontId="21" fillId="0" borderId="0" xfId="0" applyFont="1" applyAlignment="1">
      <alignment horizontal="left"/>
    </xf>
    <xf numFmtId="0" fontId="0" fillId="0" borderId="18" xfId="0" applyBorder="1" applyAlignment="1">
      <alignment horizontal="left"/>
    </xf>
    <xf numFmtId="0" fontId="0" fillId="0" borderId="20" xfId="0" applyBorder="1" applyAlignment="1">
      <alignment horizontal="center"/>
    </xf>
    <xf numFmtId="0" fontId="0" fillId="0" borderId="0" xfId="0" quotePrefix="1" applyAlignment="1">
      <alignment horizontal="center"/>
    </xf>
    <xf numFmtId="0" fontId="20" fillId="0" borderId="0" xfId="0" applyFont="1"/>
    <xf numFmtId="1" fontId="20" fillId="35" borderId="0" xfId="0" applyNumberFormat="1" applyFont="1" applyFill="1" applyAlignment="1">
      <alignment horizontal="center"/>
    </xf>
    <xf numFmtId="0" fontId="0" fillId="0" borderId="19" xfId="0" applyBorder="1" applyAlignment="1" applyProtection="1">
      <alignment horizontal="center"/>
      <protection locked="0"/>
    </xf>
    <xf numFmtId="0" fontId="20" fillId="0" borderId="0" xfId="0" applyFont="1" applyAlignment="1" applyProtection="1">
      <alignment horizontal="center"/>
      <protection locked="0"/>
    </xf>
    <xf numFmtId="0" fontId="29" fillId="0" borderId="0" xfId="0" applyFont="1" applyAlignment="1">
      <alignment horizontal="left"/>
    </xf>
    <xf numFmtId="0" fontId="0" fillId="0" borderId="0" xfId="0" applyAlignment="1">
      <alignment horizontal="left"/>
    </xf>
    <xf numFmtId="0" fontId="16" fillId="0" borderId="0" xfId="0" applyFont="1" applyAlignment="1">
      <alignment horizontal="left"/>
    </xf>
    <xf numFmtId="0" fontId="36" fillId="0" borderId="0" xfId="0" applyFont="1" applyAlignment="1">
      <alignment horizontal="left"/>
    </xf>
    <xf numFmtId="0" fontId="35" fillId="0" borderId="0" xfId="0" applyFont="1" applyAlignment="1">
      <alignment horizontal="left"/>
    </xf>
    <xf numFmtId="0" fontId="19" fillId="0" borderId="0" xfId="0" applyFont="1" applyAlignment="1">
      <alignment horizontal="center"/>
    </xf>
    <xf numFmtId="1" fontId="0" fillId="35" borderId="0" xfId="0" applyNumberFormat="1" applyFill="1" applyAlignment="1">
      <alignment horizontal="center"/>
    </xf>
    <xf numFmtId="171" fontId="0" fillId="0" borderId="0" xfId="0" applyNumberFormat="1" applyAlignment="1">
      <alignment horizontal="left"/>
    </xf>
    <xf numFmtId="0" fontId="0" fillId="0" borderId="0" xfId="0" applyAlignment="1">
      <alignment horizontal="right" vertical="center" wrapText="1"/>
    </xf>
    <xf numFmtId="2" fontId="20" fillId="33" borderId="0" xfId="0" applyNumberFormat="1" applyFont="1" applyFill="1" applyAlignment="1">
      <alignment horizontal="center"/>
    </xf>
    <xf numFmtId="2" fontId="0" fillId="33" borderId="0" xfId="0" applyNumberFormat="1" applyFill="1" applyAlignment="1">
      <alignment horizontal="center"/>
    </xf>
    <xf numFmtId="172" fontId="0" fillId="0" borderId="0" xfId="0" applyNumberFormat="1" applyAlignment="1">
      <alignment horizontal="center"/>
    </xf>
    <xf numFmtId="0" fontId="0" fillId="0" borderId="13" xfId="0" applyBorder="1" applyAlignment="1">
      <alignment horizontal="center"/>
    </xf>
    <xf numFmtId="0" fontId="20" fillId="0" borderId="14" xfId="0" applyFont="1" applyBorder="1" applyAlignment="1">
      <alignment horizontal="center"/>
    </xf>
    <xf numFmtId="0" fontId="25" fillId="0" borderId="0" xfId="0" applyFont="1" applyAlignment="1">
      <alignment horizontal="center"/>
    </xf>
    <xf numFmtId="0" fontId="25" fillId="0" borderId="14" xfId="0" applyFont="1" applyBorder="1" applyAlignment="1">
      <alignment horizontal="center"/>
    </xf>
    <xf numFmtId="164" fontId="20" fillId="0" borderId="0" xfId="0" applyNumberFormat="1" applyFont="1" applyAlignment="1">
      <alignment horizontal="center"/>
    </xf>
    <xf numFmtId="164" fontId="20" fillId="0" borderId="14" xfId="0" applyNumberFormat="1" applyFont="1" applyBorder="1" applyAlignment="1">
      <alignment horizontal="center"/>
    </xf>
    <xf numFmtId="0" fontId="0" fillId="0" borderId="15" xfId="0" applyBorder="1" applyAlignment="1">
      <alignment horizontal="center"/>
    </xf>
    <xf numFmtId="164" fontId="0" fillId="0" borderId="16" xfId="0" applyNumberFormat="1" applyBorder="1" applyAlignment="1">
      <alignment horizontal="center"/>
    </xf>
    <xf numFmtId="164" fontId="20" fillId="0" borderId="16" xfId="0" applyNumberFormat="1" applyFont="1" applyBorder="1" applyAlignment="1">
      <alignment horizontal="center"/>
    </xf>
    <xf numFmtId="164" fontId="20" fillId="0" borderId="17" xfId="0" applyNumberFormat="1" applyFont="1" applyBorder="1" applyAlignment="1">
      <alignment horizontal="center"/>
    </xf>
    <xf numFmtId="165" fontId="0" fillId="0" borderId="0" xfId="0" applyNumberFormat="1" applyAlignment="1">
      <alignment horizontal="center"/>
    </xf>
    <xf numFmtId="0" fontId="22" fillId="0" borderId="0" xfId="0" applyFont="1" applyAlignment="1">
      <alignment horizontal="center"/>
    </xf>
    <xf numFmtId="0" fontId="18" fillId="0" borderId="0" xfId="0" applyFont="1" applyAlignment="1">
      <alignment horizontal="center"/>
    </xf>
    <xf numFmtId="0" fontId="24" fillId="0" borderId="0" xfId="0" applyFont="1" applyAlignment="1">
      <alignment horizontal="center"/>
    </xf>
    <xf numFmtId="169" fontId="0" fillId="0" borderId="0" xfId="0" applyNumberFormat="1" applyAlignment="1">
      <alignment horizontal="center"/>
    </xf>
    <xf numFmtId="171" fontId="0" fillId="0" borderId="0" xfId="0" applyNumberFormat="1" applyAlignment="1">
      <alignment horizontal="center"/>
    </xf>
    <xf numFmtId="0" fontId="0" fillId="0" borderId="21" xfId="0" applyBorder="1" applyAlignment="1">
      <alignment horizontal="center"/>
    </xf>
    <xf numFmtId="168" fontId="0" fillId="0" borderId="21" xfId="0" applyNumberFormat="1" applyBorder="1" applyAlignment="1">
      <alignment horizontal="center"/>
    </xf>
    <xf numFmtId="168" fontId="0" fillId="0" borderId="0" xfId="0" applyNumberFormat="1" applyAlignment="1">
      <alignment horizontal="right"/>
    </xf>
    <xf numFmtId="0" fontId="0" fillId="0" borderId="17"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164" fontId="0" fillId="0" borderId="21" xfId="0" applyNumberFormat="1" applyBorder="1" applyAlignment="1">
      <alignment horizontal="center"/>
    </xf>
    <xf numFmtId="16" fontId="0" fillId="0" borderId="0" xfId="0" quotePrefix="1" applyNumberFormat="1" applyAlignment="1">
      <alignment horizontal="center"/>
    </xf>
    <xf numFmtId="2" fontId="14" fillId="0" borderId="0" xfId="0" applyNumberFormat="1" applyFont="1" applyAlignment="1">
      <alignment horizontal="center"/>
    </xf>
    <xf numFmtId="172" fontId="20" fillId="0" borderId="0" xfId="0" applyNumberFormat="1" applyFont="1" applyAlignment="1">
      <alignment horizontal="center"/>
    </xf>
    <xf numFmtId="0" fontId="0" fillId="0" borderId="0" xfId="0" applyAlignment="1">
      <alignment horizontal="center"/>
    </xf>
    <xf numFmtId="172" fontId="14" fillId="0" borderId="0" xfId="0" applyNumberFormat="1" applyFont="1" applyAlignment="1">
      <alignment horizontal="center"/>
    </xf>
    <xf numFmtId="0" fontId="0" fillId="0" borderId="0" xfId="0" applyAlignment="1"/>
    <xf numFmtId="0" fontId="21" fillId="0" borderId="0" xfId="0" applyNumberFormat="1" applyFont="1" applyAlignment="1" applyProtection="1">
      <alignment horizontal="left"/>
    </xf>
    <xf numFmtId="0" fontId="0" fillId="0" borderId="0" xfId="0" applyNumberFormat="1" applyAlignment="1" applyProtection="1">
      <alignment horizontal="left"/>
    </xf>
    <xf numFmtId="0" fontId="0" fillId="0" borderId="13" xfId="0" applyBorder="1" applyAlignment="1">
      <alignment horizontal="left" vertical="center"/>
    </xf>
    <xf numFmtId="0" fontId="0" fillId="0" borderId="0" xfId="0" applyAlignment="1">
      <alignment horizontal="left" vertical="center"/>
    </xf>
    <xf numFmtId="0" fontId="0" fillId="0" borderId="0" xfId="0" applyAlignment="1">
      <alignment horizontal="left" vertical="top" wrapText="1"/>
    </xf>
    <xf numFmtId="0" fontId="21" fillId="0" borderId="0" xfId="0" applyFont="1" applyAlignment="1">
      <alignment horizontal="left"/>
    </xf>
    <xf numFmtId="0" fontId="20" fillId="0" borderId="10" xfId="0" applyFont="1" applyBorder="1" applyAlignment="1">
      <alignment horizontal="center"/>
    </xf>
    <xf numFmtId="0" fontId="20" fillId="0" borderId="11" xfId="0" applyFont="1" applyBorder="1" applyAlignment="1">
      <alignment horizontal="center"/>
    </xf>
    <xf numFmtId="0" fontId="20" fillId="0" borderId="12" xfId="0" applyFont="1" applyBorder="1" applyAlignment="1">
      <alignment horizontal="center"/>
    </xf>
    <xf numFmtId="0" fontId="0" fillId="0" borderId="13" xfId="0" applyBorder="1" applyAlignment="1">
      <alignment horizontal="center"/>
    </xf>
    <xf numFmtId="0" fontId="0" fillId="0" borderId="0" xfId="0" applyAlignment="1">
      <alignment horizontal="center"/>
    </xf>
    <xf numFmtId="0" fontId="0" fillId="0" borderId="14"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21" xfId="0" applyBorder="1" applyAlignment="1">
      <alignment horizontal="center"/>
    </xf>
    <xf numFmtId="0" fontId="0" fillId="0" borderId="21" xfId="0" applyBorder="1" applyAlignment="1">
      <alignment horizontal="right" vertical="center" textRotation="90" wrapText="1"/>
    </xf>
    <xf numFmtId="0" fontId="30" fillId="0" borderId="0" xfId="0" applyFont="1" applyAlignment="1" applyProtection="1">
      <alignment horizontal="center"/>
      <protection hidden="1"/>
    </xf>
  </cellXfs>
  <cellStyles count="44">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legamento ipertestuale" xfId="43" builtinId="8"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Percentuale" xfId="42" builtinId="5"/>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8">
    <dxf>
      <font>
        <strike val="0"/>
        <color theme="0"/>
      </font>
    </dxf>
    <dxf>
      <font>
        <strike/>
        <color theme="0"/>
      </font>
    </dxf>
    <dxf>
      <fill>
        <patternFill>
          <bgColor theme="4" tint="0.79998168889431442"/>
        </patternFill>
      </fill>
    </dxf>
    <dxf>
      <font>
        <strike/>
        <color theme="0"/>
      </font>
    </dxf>
    <dxf>
      <fill>
        <patternFill>
          <bgColor theme="4" tint="0.79998168889431442"/>
        </patternFill>
      </fill>
    </dxf>
    <dxf>
      <font>
        <strike val="0"/>
        <color theme="0"/>
      </font>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AREA DI RILIEVO E ROTTA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scatterChart>
        <c:scatterStyle val="lineMarker"/>
        <c:varyColors val="0"/>
        <c:ser>
          <c:idx val="0"/>
          <c:order val="0"/>
          <c:tx>
            <c:v>ROTTA 1</c:v>
          </c:tx>
          <c:spPr>
            <a:ln w="25400" cap="rnd">
              <a:solidFill>
                <a:schemeClr val="accent1"/>
              </a:solidFill>
              <a:round/>
            </a:ln>
            <a:effectLst/>
          </c:spPr>
          <c:marker>
            <c:symbol val="circle"/>
            <c:size val="5"/>
            <c:spPr>
              <a:solidFill>
                <a:schemeClr val="accent1"/>
              </a:solidFill>
              <a:ln w="9525">
                <a:solidFill>
                  <a:schemeClr val="accent1"/>
                </a:solidFill>
              </a:ln>
              <a:effectLst/>
            </c:spPr>
          </c:marker>
          <c:xVal>
            <c:numRef>
              <c:f>ROTTE!$E$29:$E$128</c:f>
              <c:numCache>
                <c:formatCode>0.000</c:formatCode>
                <c:ptCount val="100"/>
                <c:pt idx="0">
                  <c:v>0</c:v>
                </c:pt>
                <c:pt idx="1">
                  <c:v>26.59196087443507</c:v>
                </c:pt>
                <c:pt idx="2">
                  <c:v>423.81693996397269</c:v>
                </c:pt>
                <c:pt idx="3">
                  <c:v>429.91386638407607</c:v>
                </c:pt>
                <c:pt idx="4">
                  <c:v>35.583846583745121</c:v>
                </c:pt>
                <c:pt idx="5">
                  <c:v>44.575760176227931</c:v>
                </c:pt>
                <c:pt idx="6">
                  <c:v>436.01082941321039</c:v>
                </c:pt>
                <c:pt idx="7">
                  <c:v>442.10778908497133</c:v>
                </c:pt>
                <c:pt idx="8">
                  <c:v>53.567701281315813</c:v>
                </c:pt>
                <c:pt idx="9">
                  <c:v>62.559642339017564</c:v>
                </c:pt>
                <c:pt idx="10">
                  <c:v>448.20476544054111</c:v>
                </c:pt>
                <c:pt idx="11">
                  <c:v>454.30177827415173</c:v>
                </c:pt>
                <c:pt idx="12">
                  <c:v>71.551628537414018</c:v>
                </c:pt>
                <c:pt idx="13">
                  <c:v>80.543624241550972</c:v>
                </c:pt>
                <c:pt idx="14">
                  <c:v>440.22209025112738</c:v>
                </c:pt>
                <c:pt idx="15">
                  <c:v>397.37440220708186</c:v>
                </c:pt>
                <c:pt idx="16">
                  <c:v>89.535638698027967</c:v>
                </c:pt>
                <c:pt idx="17">
                  <c:v>98.527679613072294</c:v>
                </c:pt>
                <c:pt idx="18">
                  <c:v>354.52642314966954</c:v>
                </c:pt>
                <c:pt idx="19">
                  <c:v>311.67811549726946</c:v>
                </c:pt>
                <c:pt idx="20">
                  <c:v>107.51973920664912</c:v>
                </c:pt>
                <c:pt idx="21">
                  <c:v>116.51181777611752</c:v>
                </c:pt>
                <c:pt idx="22">
                  <c:v>268.82952684740241</c:v>
                </c:pt>
                <c:pt idx="23">
                  <c:v>225.98062090519065</c:v>
                </c:pt>
                <c:pt idx="24">
                  <c:v>125.50392852046892</c:v>
                </c:pt>
                <c:pt idx="25">
                  <c:v>134.49604525242481</c:v>
                </c:pt>
                <c:pt idx="26">
                  <c:v>183.13141372185348</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pt idx="98">
                  <c:v>#N/A</c:v>
                </c:pt>
                <c:pt idx="99">
                  <c:v>142.92962606866806</c:v>
                </c:pt>
              </c:numCache>
            </c:numRef>
          </c:xVal>
          <c:yVal>
            <c:numRef>
              <c:f>ROTTE!$F$29:$F$128</c:f>
              <c:numCache>
                <c:formatCode>0.000</c:formatCode>
                <c:ptCount val="100"/>
                <c:pt idx="0">
                  <c:v>0</c:v>
                </c:pt>
                <c:pt idx="1">
                  <c:v>108.8608398244336</c:v>
                </c:pt>
                <c:pt idx="2">
                  <c:v>-112.1868370536539</c:v>
                </c:pt>
                <c:pt idx="3">
                  <c:v>-96.125043143793803</c:v>
                </c:pt>
                <c:pt idx="4">
                  <c:v>123.31197325581512</c:v>
                </c:pt>
                <c:pt idx="5">
                  <c:v>137.76311918161923</c:v>
                </c:pt>
                <c:pt idx="6">
                  <c:v>-80.063259781614931</c:v>
                </c:pt>
                <c:pt idx="7">
                  <c:v>-64.001478731613616</c:v>
                </c:pt>
                <c:pt idx="8">
                  <c:v>152.21426923302997</c:v>
                </c:pt>
                <c:pt idx="9">
                  <c:v>166.66534706659809</c:v>
                </c:pt>
                <c:pt idx="10">
                  <c:v>-47.939704349275672</c:v>
                </c:pt>
                <c:pt idx="11">
                  <c:v>-31.877937910561467</c:v>
                </c:pt>
                <c:pt idx="12">
                  <c:v>181.11647660275156</c:v>
                </c:pt>
                <c:pt idx="13">
                  <c:v>195.56756260421503</c:v>
                </c:pt>
                <c:pt idx="14">
                  <c:v>-4.5884032556595553</c:v>
                </c:pt>
                <c:pt idx="15">
                  <c:v>38.7094231129837</c:v>
                </c:pt>
                <c:pt idx="16">
                  <c:v>210.018630364866</c:v>
                </c:pt>
                <c:pt idx="17">
                  <c:v>224.46969786090457</c:v>
                </c:pt>
                <c:pt idx="18">
                  <c:v>82.006956800356178</c:v>
                </c:pt>
                <c:pt idx="19">
                  <c:v>125.30418817731253</c:v>
                </c:pt>
                <c:pt idx="20">
                  <c:v>238.92074677784476</c:v>
                </c:pt>
                <c:pt idx="21">
                  <c:v>253.37177817338787</c:v>
                </c:pt>
                <c:pt idx="22">
                  <c:v>168.60113069662708</c:v>
                </c:pt>
                <c:pt idx="23">
                  <c:v>211.89776582791134</c:v>
                </c:pt>
                <c:pt idx="24">
                  <c:v>267.82282045673725</c:v>
                </c:pt>
                <c:pt idx="25">
                  <c:v>282.2738174651177</c:v>
                </c:pt>
                <c:pt idx="26">
                  <c:v>255.19409634913507</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pt idx="98">
                  <c:v>#N/A</c:v>
                </c:pt>
                <c:pt idx="99">
                  <c:v>295.83108650410469</c:v>
                </c:pt>
              </c:numCache>
            </c:numRef>
          </c:yVal>
          <c:smooth val="0"/>
          <c:extLst>
            <c:ext xmlns:c16="http://schemas.microsoft.com/office/drawing/2014/chart" uri="{C3380CC4-5D6E-409C-BE32-E72D297353CC}">
              <c16:uniqueId val="{00000000-8CBC-4F92-A17B-E1355AA88BF4}"/>
            </c:ext>
          </c:extLst>
        </c:ser>
        <c:ser>
          <c:idx val="1"/>
          <c:order val="1"/>
          <c:tx>
            <c:v>AREA DI RILIEVO</c:v>
          </c:tx>
          <c:spPr>
            <a:ln w="19050" cap="rnd">
              <a:solidFill>
                <a:srgbClr val="FF0000"/>
              </a:solidFill>
              <a:prstDash val="sysDot"/>
              <a:round/>
            </a:ln>
            <a:effectLst/>
          </c:spPr>
          <c:marker>
            <c:symbol val="circle"/>
            <c:size val="5"/>
            <c:spPr>
              <a:solidFill>
                <a:srgbClr val="FF0000"/>
              </a:solidFill>
              <a:ln w="9525">
                <a:solidFill>
                  <a:srgbClr val="FF0000"/>
                </a:solidFill>
              </a:ln>
              <a:effectLst/>
            </c:spPr>
          </c:marker>
          <c:dLbls>
            <c:dLbl>
              <c:idx val="0"/>
              <c:layout>
                <c:manualLayout>
                  <c:x val="-4.0017754105636925E-2"/>
                  <c:y val="-5.9587108063105017E-3"/>
                </c:manualLayout>
              </c:layout>
              <c:tx>
                <c:rich>
                  <a:bodyPr/>
                  <a:lstStyle/>
                  <a:p>
                    <a:fld id="{BC4D3C34-A526-49EC-8197-6353BFF1F685}"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8A06-4344-A07B-9CF481E06B8D}"/>
                </c:ext>
              </c:extLst>
            </c:dLbl>
            <c:dLbl>
              <c:idx val="1"/>
              <c:layout>
                <c:manualLayout>
                  <c:x val="-3.1140701287172657E-2"/>
                  <c:y val="1.7338780233116021E-2"/>
                </c:manualLayout>
              </c:layout>
              <c:tx>
                <c:rich>
                  <a:bodyPr/>
                  <a:lstStyle/>
                  <a:p>
                    <a:fld id="{AC930658-FC4C-464C-AC7E-0DDE74F34BDA}"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8A06-4344-A07B-9CF481E06B8D}"/>
                </c:ext>
              </c:extLst>
            </c:dLbl>
            <c:dLbl>
              <c:idx val="2"/>
              <c:layout>
                <c:manualLayout>
                  <c:x val="-2.7341322680871252E-3"/>
                  <c:y val="1.1962436147094517E-2"/>
                </c:manualLayout>
              </c:layout>
              <c:tx>
                <c:rich>
                  <a:bodyPr/>
                  <a:lstStyle/>
                  <a:p>
                    <a:fld id="{98528984-B76D-4105-8595-3F43A2CDC794}"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8A06-4344-A07B-9CF481E06B8D}"/>
                </c:ext>
              </c:extLst>
            </c:dLbl>
            <c:dLbl>
              <c:idx val="3"/>
              <c:tx>
                <c:rich>
                  <a:bodyPr/>
                  <a:lstStyle/>
                  <a:p>
                    <a:fld id="{8568CAA6-8883-4A3D-9B90-6944B544D9BD}" type="CELLRANGE">
                      <a:rPr lang="it-IT"/>
                      <a:pPr/>
                      <a:t>[INTERVALLOCELLE]</a:t>
                    </a:fld>
                    <a:endParaRPr lang="it-IT"/>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8A06-4344-A07B-9CF481E06B8D}"/>
                </c:ext>
              </c:extLst>
            </c:dLbl>
            <c:dLbl>
              <c:idx val="4"/>
              <c:tx>
                <c:rich>
                  <a:bodyPr/>
                  <a:lstStyle/>
                  <a:p>
                    <a:endParaRPr lang="en-US"/>
                  </a:p>
                </c:rich>
              </c:tx>
              <c:dLblPos val="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A06-4344-A07B-9CF481E06B8D}"/>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mn-lt"/>
                    <a:ea typeface="+mn-ea"/>
                    <a:cs typeface="+mn-cs"/>
                  </a:defRPr>
                </a:pPr>
                <a:endParaRPr lang="it-IT"/>
              </a:p>
            </c:txPr>
            <c:dLblPos val="t"/>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'CALCOLO ROTTA 1'!$Q$243:$Q$247</c:f>
              <c:numCache>
                <c:formatCode>0.000</c:formatCode>
                <c:ptCount val="5"/>
                <c:pt idx="0">
                  <c:v>26.59196087443507</c:v>
                </c:pt>
                <c:pt idx="1">
                  <c:v>423.81693996397269</c:v>
                </c:pt>
                <c:pt idx="2">
                  <c:v>457.88516858706345</c:v>
                </c:pt>
                <c:pt idx="3">
                  <c:v>142.92962606866806</c:v>
                </c:pt>
                <c:pt idx="4">
                  <c:v>26.59196087443507</c:v>
                </c:pt>
              </c:numCache>
            </c:numRef>
          </c:xVal>
          <c:yVal>
            <c:numRef>
              <c:f>'CALCOLO ROTTA 1'!$R$243:$R$247</c:f>
              <c:numCache>
                <c:formatCode>0.000</c:formatCode>
                <c:ptCount val="5"/>
                <c:pt idx="0">
                  <c:v>108.8608398244336</c:v>
                </c:pt>
                <c:pt idx="1">
                  <c:v>-112.1868370536539</c:v>
                </c:pt>
                <c:pt idx="2">
                  <c:v>-22.437204276358475</c:v>
                </c:pt>
                <c:pt idx="3">
                  <c:v>295.83108650410469</c:v>
                </c:pt>
                <c:pt idx="4">
                  <c:v>108.8608398244336</c:v>
                </c:pt>
              </c:numCache>
            </c:numRef>
          </c:yVal>
          <c:smooth val="0"/>
          <c:extLst>
            <c:ext xmlns:c15="http://schemas.microsoft.com/office/drawing/2012/chart" uri="{02D57815-91ED-43cb-92C2-25804820EDAC}">
              <c15:datalabelsRange>
                <c15:f>'CALCOLO ROTTA 1'!$C$243:$C$246</c15:f>
                <c15:dlblRangeCache>
                  <c:ptCount val="4"/>
                  <c:pt idx="0">
                    <c:v>2</c:v>
                  </c:pt>
                  <c:pt idx="1">
                    <c:v>3</c:v>
                  </c:pt>
                  <c:pt idx="2">
                    <c:v>4</c:v>
                  </c:pt>
                  <c:pt idx="3">
                    <c:v>5</c:v>
                  </c:pt>
                </c15:dlblRangeCache>
              </c15:datalabelsRange>
            </c:ext>
            <c:ext xmlns:c16="http://schemas.microsoft.com/office/drawing/2014/chart" uri="{C3380CC4-5D6E-409C-BE32-E72D297353CC}">
              <c16:uniqueId val="{00000006-8CBC-4F92-A17B-E1355AA88BF4}"/>
            </c:ext>
          </c:extLst>
        </c:ser>
        <c:ser>
          <c:idx val="2"/>
          <c:order val="2"/>
          <c:tx>
            <c:v>DECOLLO</c:v>
          </c:tx>
          <c:spPr>
            <a:ln w="19050" cap="rnd">
              <a:solidFill>
                <a:schemeClr val="accent3"/>
              </a:solidFill>
              <a:round/>
            </a:ln>
            <a:effectLst/>
          </c:spPr>
          <c:marker>
            <c:symbol val="circle"/>
            <c:size val="5"/>
            <c:spPr>
              <a:solidFill>
                <a:srgbClr val="FF0000"/>
              </a:solidFill>
              <a:ln w="9525">
                <a:solidFill>
                  <a:srgbClr val="FF0000"/>
                </a:solidFill>
              </a:ln>
              <a:effectLst/>
            </c:spPr>
          </c:marker>
          <c:dLbls>
            <c:dLbl>
              <c:idx val="0"/>
              <c:tx>
                <c:rich>
                  <a:bodyPr/>
                  <a:lstStyle/>
                  <a:p>
                    <a:fld id="{91F6B9EA-4755-4FD2-8C37-F7D144B9931A}"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8CBC-4F92-A17B-E1355AA88BF4}"/>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mn-lt"/>
                    <a:ea typeface="+mn-ea"/>
                    <a:cs typeface="+mn-cs"/>
                  </a:defRPr>
                </a:pPr>
                <a:endParaRPr lang="it-IT"/>
              </a:p>
            </c:txPr>
            <c:dLblPos val="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'CALCOLO ROTTA 1'!$Q$140</c:f>
              <c:numCache>
                <c:formatCode>General</c:formatCode>
                <c:ptCount val="1"/>
                <c:pt idx="0">
                  <c:v>0</c:v>
                </c:pt>
              </c:numCache>
            </c:numRef>
          </c:xVal>
          <c:yVal>
            <c:numRef>
              <c:f>'CALCOLO ROTTA 1'!$R$140</c:f>
              <c:numCache>
                <c:formatCode>General</c:formatCode>
                <c:ptCount val="1"/>
                <c:pt idx="0">
                  <c:v>0</c:v>
                </c:pt>
              </c:numCache>
            </c:numRef>
          </c:yVal>
          <c:smooth val="0"/>
          <c:extLst>
            <c:ext xmlns:c15="http://schemas.microsoft.com/office/drawing/2012/chart" uri="{02D57815-91ED-43cb-92C2-25804820EDAC}">
              <c15:datalabelsRange>
                <c15:f>'CALCOLO ROTTA 1'!$B$140</c15:f>
                <c15:dlblRangeCache>
                  <c:ptCount val="1"/>
                  <c:pt idx="0">
                    <c:v>1</c:v>
                  </c:pt>
                </c15:dlblRangeCache>
              </c15:datalabelsRange>
            </c:ext>
            <c:ext xmlns:c16="http://schemas.microsoft.com/office/drawing/2014/chart" uri="{C3380CC4-5D6E-409C-BE32-E72D297353CC}">
              <c16:uniqueId val="{00000008-8CBC-4F92-A17B-E1355AA88BF4}"/>
            </c:ext>
          </c:extLst>
        </c:ser>
        <c:ser>
          <c:idx val="3"/>
          <c:order val="3"/>
          <c:tx>
            <c:v>ROTTA 2</c:v>
          </c:tx>
          <c:spPr>
            <a:ln w="12700" cap="rnd">
              <a:solidFill>
                <a:schemeClr val="accent6"/>
              </a:solidFill>
              <a:prstDash val="sysDash"/>
              <a:round/>
            </a:ln>
            <a:effectLst/>
          </c:spPr>
          <c:marker>
            <c:symbol val="circle"/>
            <c:size val="5"/>
            <c:spPr>
              <a:solidFill>
                <a:schemeClr val="accent6"/>
              </a:solidFill>
              <a:ln w="9525">
                <a:solidFill>
                  <a:schemeClr val="accent6"/>
                </a:solidFill>
              </a:ln>
              <a:effectLst/>
            </c:spPr>
          </c:marker>
          <c:xVal>
            <c:numRef>
              <c:f>ROTTE!$E$128:$E$225</c:f>
              <c:numCache>
                <c:formatCode>0.000</c:formatCode>
                <c:ptCount val="98"/>
                <c:pt idx="0">
                  <c:v>142.92962606866806</c:v>
                </c:pt>
                <c:pt idx="1">
                  <c:v>26.59196087443507</c:v>
                </c:pt>
                <c:pt idx="2">
                  <c:v>41.46460550679204</c:v>
                </c:pt>
                <c:pt idx="3">
                  <c:v>155.22275001424822</c:v>
                </c:pt>
                <c:pt idx="4">
                  <c:v>167.51585678220124</c:v>
                </c:pt>
                <c:pt idx="5">
                  <c:v>56.33724560785403</c:v>
                </c:pt>
                <c:pt idx="6">
                  <c:v>71.209838105595523</c:v>
                </c:pt>
                <c:pt idx="7">
                  <c:v>179.80893256006013</c:v>
                </c:pt>
                <c:pt idx="8">
                  <c:v>192.10198440449278</c:v>
                </c:pt>
                <c:pt idx="9">
                  <c:v>86.082455978207321</c:v>
                </c:pt>
                <c:pt idx="10">
                  <c:v>100.95498561312498</c:v>
                </c:pt>
                <c:pt idx="11">
                  <c:v>204.39502222361347</c:v>
                </c:pt>
                <c:pt idx="12">
                  <c:v>216.68801766509281</c:v>
                </c:pt>
                <c:pt idx="13">
                  <c:v>115.82754602929033</c:v>
                </c:pt>
                <c:pt idx="14">
                  <c:v>130.70007648887338</c:v>
                </c:pt>
                <c:pt idx="15">
                  <c:v>228.98101043985133</c:v>
                </c:pt>
                <c:pt idx="16">
                  <c:v>241.27395896658277</c:v>
                </c:pt>
                <c:pt idx="17">
                  <c:v>145.57252048299242</c:v>
                </c:pt>
                <c:pt idx="18">
                  <c:v>160.44505069047844</c:v>
                </c:pt>
                <c:pt idx="19">
                  <c:v>253.56690727773247</c:v>
                </c:pt>
                <c:pt idx="20">
                  <c:v>265.85979777601256</c:v>
                </c:pt>
                <c:pt idx="21">
                  <c:v>175.3174976646591</c:v>
                </c:pt>
                <c:pt idx="22">
                  <c:v>190.1899669729662</c:v>
                </c:pt>
                <c:pt idx="23">
                  <c:v>278.15267687465001</c:v>
                </c:pt>
                <c:pt idx="24">
                  <c:v>290.44554545219967</c:v>
                </c:pt>
                <c:pt idx="25">
                  <c:v>205.06238465383129</c:v>
                </c:pt>
                <c:pt idx="26">
                  <c:v>219.93477718439911</c:v>
                </c:pt>
                <c:pt idx="27">
                  <c:v>302.73837893739704</c:v>
                </c:pt>
                <c:pt idx="28">
                  <c:v>315.03117710454774</c:v>
                </c:pt>
                <c:pt idx="29">
                  <c:v>234.80716483171258</c:v>
                </c:pt>
                <c:pt idx="30">
                  <c:v>249.67952688198505</c:v>
                </c:pt>
                <c:pt idx="31">
                  <c:v>327.32394009713653</c:v>
                </c:pt>
                <c:pt idx="32">
                  <c:v>339.61671743182859</c:v>
                </c:pt>
                <c:pt idx="33">
                  <c:v>264.55186435087722</c:v>
                </c:pt>
                <c:pt idx="34">
                  <c:v>279.42420992082043</c:v>
                </c:pt>
                <c:pt idx="35">
                  <c:v>351.90944724401794</c:v>
                </c:pt>
                <c:pt idx="36">
                  <c:v>364.2021780988847</c:v>
                </c:pt>
                <c:pt idx="37">
                  <c:v>294.29649876569437</c:v>
                </c:pt>
                <c:pt idx="38">
                  <c:v>309.16876522642013</c:v>
                </c:pt>
                <c:pt idx="39">
                  <c:v>376.49483844915915</c:v>
                </c:pt>
                <c:pt idx="40">
                  <c:v>388.78751108673447</c:v>
                </c:pt>
                <c:pt idx="41">
                  <c:v>324.04103672454056</c:v>
                </c:pt>
                <c:pt idx="42">
                  <c:v>338.91330958482496</c:v>
                </c:pt>
                <c:pt idx="43">
                  <c:v>401.08012661984003</c:v>
                </c:pt>
                <c:pt idx="44">
                  <c:v>413.37274179596278</c:v>
                </c:pt>
                <c:pt idx="45">
                  <c:v>353.78553187140778</c:v>
                </c:pt>
                <c:pt idx="46">
                  <c:v>368.65773109349635</c:v>
                </c:pt>
                <c:pt idx="47">
                  <c:v>425.66533361413826</c:v>
                </c:pt>
                <c:pt idx="48">
                  <c:v>437.95789164173453</c:v>
                </c:pt>
                <c:pt idx="49">
                  <c:v>383.52990767188953</c:v>
                </c:pt>
                <c:pt idx="50">
                  <c:v>398.40208330669554</c:v>
                </c:pt>
                <c:pt idx="51">
                  <c:v>450.2504266232603</c:v>
                </c:pt>
                <c:pt idx="52">
                  <c:v>445.99351300232848</c:v>
                </c:pt>
                <c:pt idx="53">
                  <c:v>413.27423520107669</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numCache>
            </c:numRef>
          </c:xVal>
          <c:yVal>
            <c:numRef>
              <c:f>ROTTE!$F$128:$F$225</c:f>
              <c:numCache>
                <c:formatCode>0.000</c:formatCode>
                <c:ptCount val="98"/>
                <c:pt idx="0">
                  <c:v>295.83108650410469</c:v>
                </c:pt>
                <c:pt idx="1">
                  <c:v>108.8608398244336</c:v>
                </c:pt>
                <c:pt idx="2">
                  <c:v>100.5844911243028</c:v>
                </c:pt>
                <c:pt idx="3">
                  <c:v>283.40862404995437</c:v>
                </c:pt>
                <c:pt idx="4">
                  <c:v>270.98615127673702</c:v>
                </c:pt>
                <c:pt idx="5">
                  <c:v>92.308131366181243</c:v>
                </c:pt>
                <c:pt idx="6">
                  <c:v>84.031688877950373</c:v>
                </c:pt>
                <c:pt idx="7">
                  <c:v>258.56364387427578</c:v>
                </c:pt>
                <c:pt idx="8">
                  <c:v>246.141114056042</c:v>
                </c:pt>
                <c:pt idx="9">
                  <c:v>75.755260209978246</c:v>
                </c:pt>
                <c:pt idx="10">
                  <c:v>67.478736368757993</c:v>
                </c:pt>
                <c:pt idx="11">
                  <c:v>233.71857264763597</c:v>
                </c:pt>
                <c:pt idx="12">
                  <c:v>221.29598667526335</c:v>
                </c:pt>
                <c:pt idx="13">
                  <c:v>59.202215723143517</c:v>
                </c:pt>
                <c:pt idx="14">
                  <c:v>50.925651670255618</c:v>
                </c:pt>
                <c:pt idx="15">
                  <c:v>208.87339848000494</c:v>
                </c:pt>
                <c:pt idx="16">
                  <c:v>196.45076740377542</c:v>
                </c:pt>
                <c:pt idx="17">
                  <c:v>42.649031712206195</c:v>
                </c:pt>
                <c:pt idx="18">
                  <c:v>34.372408739902852</c:v>
                </c:pt>
                <c:pt idx="19">
                  <c:v>184.02813096404293</c:v>
                </c:pt>
                <c:pt idx="20">
                  <c:v>171.60544590180754</c:v>
                </c:pt>
                <c:pt idx="21">
                  <c:v>26.095734168042739</c:v>
                </c:pt>
                <c:pt idx="22">
                  <c:v>17.81902987035372</c:v>
                </c:pt>
                <c:pt idx="23">
                  <c:v>159.18274642491704</c:v>
                </c:pt>
                <c:pt idx="24">
                  <c:v>146.76002999780439</c:v>
                </c:pt>
                <c:pt idx="25">
                  <c:v>9.5422859747766964</c:v>
                </c:pt>
                <c:pt idx="26">
                  <c:v>1.2655069866324891</c:v>
                </c:pt>
                <c:pt idx="27">
                  <c:v>134.33728305798581</c:v>
                </c:pt>
                <c:pt idx="28">
                  <c:v>121.91450746501903</c:v>
                </c:pt>
                <c:pt idx="29">
                  <c:v>-7.0113072693667631</c:v>
                </c:pt>
                <c:pt idx="30">
                  <c:v>-15.288157106185468</c:v>
                </c:pt>
                <c:pt idx="31">
                  <c:v>109.49170494576504</c:v>
                </c:pt>
                <c:pt idx="32">
                  <c:v>97.068891073053891</c:v>
                </c:pt>
                <c:pt idx="33">
                  <c:v>-23.565042111683557</c:v>
                </c:pt>
                <c:pt idx="34">
                  <c:v>-31.841965694872229</c:v>
                </c:pt>
                <c:pt idx="35">
                  <c:v>84.646045465774392</c:v>
                </c:pt>
                <c:pt idx="36">
                  <c:v>72.223180827874728</c:v>
                </c:pt>
                <c:pt idx="37">
                  <c:v>-40.118920951957826</c:v>
                </c:pt>
                <c:pt idx="38">
                  <c:v>-48.395910894780272</c:v>
                </c:pt>
                <c:pt idx="39">
                  <c:v>59.800282715048475</c:v>
                </c:pt>
                <c:pt idx="40">
                  <c:v>47.37736646958119</c:v>
                </c:pt>
                <c:pt idx="41">
                  <c:v>-56.67294027480736</c:v>
                </c:pt>
                <c:pt idx="42">
                  <c:v>-64.950009732167899</c:v>
                </c:pt>
                <c:pt idx="43">
                  <c:v>34.954422025255703</c:v>
                </c:pt>
                <c:pt idx="44">
                  <c:v>22.53145573382908</c:v>
                </c:pt>
                <c:pt idx="45">
                  <c:v>-73.227109469315224</c:v>
                </c:pt>
                <c:pt idx="46">
                  <c:v>-81.504244164555928</c:v>
                </c:pt>
                <c:pt idx="47">
                  <c:v>10.108464695029205</c:v>
                </c:pt>
                <c:pt idx="48">
                  <c:v>-2.3145511253010858</c:v>
                </c:pt>
                <c:pt idx="49">
                  <c:v>-89.781413806715165</c:v>
                </c:pt>
                <c:pt idx="50">
                  <c:v>-98.058623654858906</c:v>
                </c:pt>
                <c:pt idx="51">
                  <c:v>-14.737591298548219</c:v>
                </c:pt>
                <c:pt idx="52">
                  <c:v>-53.764767641455457</c:v>
                </c:pt>
                <c:pt idx="53">
                  <c:v>-106.3358685048895</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numCache>
            </c:numRef>
          </c:yVal>
          <c:smooth val="0"/>
          <c:extLst>
            <c:ext xmlns:c16="http://schemas.microsoft.com/office/drawing/2014/chart" uri="{C3380CC4-5D6E-409C-BE32-E72D297353CC}">
              <c16:uniqueId val="{00000001-1823-486D-A027-6ADD93F9A2C7}"/>
            </c:ext>
          </c:extLst>
        </c:ser>
        <c:dLbls>
          <c:showLegendKey val="0"/>
          <c:showVal val="0"/>
          <c:showCatName val="0"/>
          <c:showSerName val="0"/>
          <c:showPercent val="0"/>
          <c:showBubbleSize val="0"/>
        </c:dLbls>
        <c:axId val="542584224"/>
        <c:axId val="542584616"/>
      </c:scatterChart>
      <c:valAx>
        <c:axId val="542584224"/>
        <c:scaling>
          <c:orientation val="minMax"/>
        </c:scaling>
        <c:delete val="0"/>
        <c:axPos val="b"/>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42584616"/>
        <c:crosses val="autoZero"/>
        <c:crossBetween val="midCat"/>
      </c:valAx>
      <c:valAx>
        <c:axId val="542584616"/>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425842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CheckBox" checked="Checked" fmlaLink="ROTTE!$B$4"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CALCOLO ROTTA 1'!$B$66"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checked="Checked" firstButton="1" fmlaLink="'CALCOLO ROTTA 1'!$B$67"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checked="Checked" firstButton="1" fmlaLink="'CALCOLO ROTTA 1'!$B$64" lockText="1" noThreeD="1"/>
</file>

<file path=xl/ctrlProps/ctrlProp20.xml><?xml version="1.0" encoding="utf-8"?>
<formControlPr xmlns="http://schemas.microsoft.com/office/spreadsheetml/2009/9/main" objectType="Drop" dropLines="60" dropStyle="combo" dx="22" fmlaLink="'CALCOLO ROTTA 1'!$A$52" fmlaRange="'CALCOLO ROTTA 1'!$A$3:$A$48" noThreeD="1" sel="5" val="0"/>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checked="Checked" firstButton="1" fmlaLink="'CALCOLO ROTTA 1'!$B$65"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hyperlink" Target="https://www.paypal.com/cgi-bin/webscr?cmd=_s-xclick&amp;hosted_button_id=9BN6PGUEK8T6C&amp;source=url"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xdr:row>
      <xdr:rowOff>182879</xdr:rowOff>
    </xdr:from>
    <xdr:to>
      <xdr:col>8</xdr:col>
      <xdr:colOff>504825</xdr:colOff>
      <xdr:row>17</xdr:row>
      <xdr:rowOff>114300</xdr:rowOff>
    </xdr:to>
    <xdr:sp macro="" textlink="">
      <xdr:nvSpPr>
        <xdr:cNvPr id="4" name="CasellaDiTesto 3">
          <a:extLst>
            <a:ext uri="{FF2B5EF4-FFF2-40B4-BE49-F238E27FC236}">
              <a16:creationId xmlns:a16="http://schemas.microsoft.com/office/drawing/2014/main" id="{00000000-0008-0000-0000-000004000000}"/>
            </a:ext>
          </a:extLst>
        </xdr:cNvPr>
        <xdr:cNvSpPr txBox="1"/>
      </xdr:nvSpPr>
      <xdr:spPr>
        <a:xfrm>
          <a:off x="1" y="782954"/>
          <a:ext cx="6762749" cy="25984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NOTE</a:t>
          </a:r>
        </a:p>
        <a:p>
          <a:r>
            <a:rPr lang="it-IT" sz="1100"/>
            <a:t>- In azzurro le celle che necessitano di un input da parte dell'utente.</a:t>
          </a:r>
        </a:p>
        <a:p>
          <a:r>
            <a:rPr lang="it-IT" sz="1100"/>
            <a:t>- In giallo i valori calcolati che vanno presi in considerazione per dedurre i valori di input. Ad esempio, nel foglio DATI CAMERA E ROTTA, il valore calcolato H max (altezza di volo massima impostabile per garantire il GSD) serve per dedurre il valore di input successivo H (altezza di volo impostata). H non potrà essere maggiore di H max per garantire il GSD richiesto.</a:t>
          </a:r>
        </a:p>
        <a:p>
          <a:r>
            <a:rPr lang="it-IT" sz="1100"/>
            <a:t>- In arancione i valori di interesse risultanti dal calcolo.</a:t>
          </a:r>
        </a:p>
        <a:p>
          <a:r>
            <a:rPr lang="it-IT" sz="1100"/>
            <a:t>- Le celle non evidenziate sono di ausilio per i calcoli.</a:t>
          </a:r>
        </a:p>
        <a:p>
          <a:r>
            <a:rPr lang="it-IT" sz="1100" baseline="0"/>
            <a:t>- Il waypoint 1 è il punto di decollo.</a:t>
          </a:r>
        </a:p>
        <a:p>
          <a:r>
            <a:rPr lang="it-IT" sz="1100" baseline="0"/>
            <a:t>- I waypoints 2, 3, 4 e 5 definiscono i limiti dell'area di rilievo.</a:t>
          </a:r>
        </a:p>
        <a:p>
          <a:pPr marL="0" marR="0" lvl="0" indent="0" defTabSz="914400" eaLnBrk="1" fontAlgn="auto" latinLnBrk="0" hangingPunct="1">
            <a:lnSpc>
              <a:spcPct val="100000"/>
            </a:lnSpc>
            <a:spcBef>
              <a:spcPts val="0"/>
            </a:spcBef>
            <a:spcAft>
              <a:spcPts val="0"/>
            </a:spcAft>
            <a:buClrTx/>
            <a:buSzTx/>
            <a:buFontTx/>
            <a:buNone/>
            <a:tabLst/>
            <a:defRPr/>
          </a:pPr>
          <a:r>
            <a:rPr lang="it-IT" sz="1100" baseline="0"/>
            <a:t>- </a:t>
          </a:r>
          <a:r>
            <a:rPr lang="it-IT" sz="1100">
              <a:solidFill>
                <a:schemeClr val="dk1"/>
              </a:solidFill>
              <a:effectLst/>
              <a:latin typeface="+mn-lt"/>
              <a:ea typeface="+mn-ea"/>
              <a:cs typeface="+mn-cs"/>
            </a:rPr>
            <a:t>L'area di rilievo deve avere la</a:t>
          </a:r>
          <a:r>
            <a:rPr lang="it-IT" sz="1100" baseline="0">
              <a:solidFill>
                <a:schemeClr val="dk1"/>
              </a:solidFill>
              <a:effectLst/>
              <a:latin typeface="+mn-lt"/>
              <a:ea typeface="+mn-ea"/>
              <a:cs typeface="+mn-cs"/>
            </a:rPr>
            <a:t> forma di un quadrilatero.</a:t>
          </a:r>
        </a:p>
        <a:p>
          <a:pPr eaLnBrk="1" fontAlgn="auto" latinLnBrk="0" hangingPunct="1"/>
          <a:r>
            <a:rPr lang="it-IT" sz="1100" baseline="0">
              <a:solidFill>
                <a:srgbClr val="FF0000"/>
              </a:solidFill>
              <a:effectLst/>
              <a:latin typeface="+mn-lt"/>
              <a:ea typeface="+mn-ea"/>
              <a:cs typeface="+mn-cs"/>
            </a:rPr>
            <a:t>VERIFICA LE IMPOSTAZIONI SEGUENTI NEL TUO SOFTWARE</a:t>
          </a:r>
          <a:endParaRPr lang="it-IT">
            <a:solidFill>
              <a:srgbClr val="FF0000"/>
            </a:solidFill>
            <a:effectLst/>
          </a:endParaRPr>
        </a:p>
        <a:p>
          <a:pPr eaLnBrk="1" fontAlgn="auto" latinLnBrk="0" hangingPunct="1"/>
          <a:r>
            <a:rPr lang="it-IT" sz="1100" baseline="0">
              <a:solidFill>
                <a:srgbClr val="FF0000"/>
              </a:solidFill>
              <a:effectLst/>
              <a:latin typeface="+mn-lt"/>
              <a:ea typeface="+mn-ea"/>
              <a:cs typeface="+mn-cs"/>
            </a:rPr>
            <a:t>- I dati esportati da Mission Hub utilizzano il punto come separatore decimale e la virgola come separazione tra i campi. Verifica nelle opzioni del tuo software che venga considerato il punto come separatore decimale. </a:t>
          </a:r>
          <a:endParaRPr lang="it-IT">
            <a:solidFill>
              <a:srgbClr val="FF0000"/>
            </a:solidFill>
            <a:effectLst/>
          </a:endParaRPr>
        </a:p>
        <a:p>
          <a:pPr eaLnBrk="1" fontAlgn="auto" latinLnBrk="0" hangingPunct="1"/>
          <a:r>
            <a:rPr lang="it-IT" sz="1100" baseline="0">
              <a:solidFill>
                <a:schemeClr val="dk1"/>
              </a:solidFill>
              <a:effectLst/>
              <a:latin typeface="+mn-lt"/>
              <a:ea typeface="+mn-ea"/>
              <a:cs typeface="+mn-cs"/>
            </a:rPr>
            <a:t> </a:t>
          </a:r>
          <a:endParaRPr lang="it-IT">
            <a:solidFill>
              <a:srgbClr val="FF0000"/>
            </a:solidFill>
            <a:effectLst/>
          </a:endParaRPr>
        </a:p>
      </xdr:txBody>
    </xdr:sp>
    <xdr:clientData/>
  </xdr:twoCellAnchor>
  <xdr:twoCellAnchor editAs="oneCell">
    <xdr:from>
      <xdr:col>9</xdr:col>
      <xdr:colOff>152400</xdr:colOff>
      <xdr:row>34</xdr:row>
      <xdr:rowOff>19051</xdr:rowOff>
    </xdr:from>
    <xdr:to>
      <xdr:col>20</xdr:col>
      <xdr:colOff>600075</xdr:colOff>
      <xdr:row>71</xdr:row>
      <xdr:rowOff>47626</xdr:rowOff>
    </xdr:to>
    <xdr:graphicFrame macro="">
      <xdr:nvGraphicFramePr>
        <xdr:cNvPr id="23" name="Grafico 22">
          <a:extLst>
            <a:ext uri="{FF2B5EF4-FFF2-40B4-BE49-F238E27FC236}">
              <a16:creationId xmlns:a16="http://schemas.microsoft.com/office/drawing/2014/main" id="{00000000-0008-0000-0000-000017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0</xdr:colOff>
          <xdr:row>19</xdr:row>
          <xdr:rowOff>9525</xdr:rowOff>
        </xdr:from>
        <xdr:to>
          <xdr:col>2</xdr:col>
          <xdr:colOff>1066800</xdr:colOff>
          <xdr:row>23</xdr:row>
          <xdr:rowOff>180975</xdr:rowOff>
        </xdr:to>
        <xdr:sp macro="" textlink="">
          <xdr:nvSpPr>
            <xdr:cNvPr id="2075" name="Group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it-IT" sz="800" b="0" i="0" u="none" strike="noStrike" baseline="0">
                  <a:solidFill>
                    <a:srgbClr val="000000"/>
                  </a:solidFill>
                  <a:latin typeface="Segoe UI"/>
                  <a:cs typeface="Segoe UI"/>
                </a:rPr>
                <a:t>FONTE DEI DATI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152400</xdr:rowOff>
        </xdr:from>
        <xdr:to>
          <xdr:col>2</xdr:col>
          <xdr:colOff>771525</xdr:colOff>
          <xdr:row>21</xdr:row>
          <xdr:rowOff>85725</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UTILIZZA IL FILE .csv ESPORTATO DA MISSION HUB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142875</xdr:rowOff>
        </xdr:from>
        <xdr:to>
          <xdr:col>2</xdr:col>
          <xdr:colOff>923925</xdr:colOff>
          <xdr:row>23</xdr:row>
          <xdr:rowOff>38100</xdr:rowOff>
        </xdr:to>
        <xdr:sp macro="" textlink="">
          <xdr:nvSpPr>
            <xdr:cNvPr id="2077" name="Option Button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UTILIZZA LE COORDINATE INSERITE MANUALMENTE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45</xdr:row>
          <xdr:rowOff>152400</xdr:rowOff>
        </xdr:from>
        <xdr:to>
          <xdr:col>7</xdr:col>
          <xdr:colOff>504825</xdr:colOff>
          <xdr:row>55</xdr:row>
          <xdr:rowOff>180975</xdr:rowOff>
        </xdr:to>
        <xdr:sp macro="" textlink="">
          <xdr:nvSpPr>
            <xdr:cNvPr id="2078" name="Group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it-IT" sz="800" b="0" i="0" u="none" strike="noStrike" baseline="0">
                  <a:solidFill>
                    <a:srgbClr val="000000"/>
                  </a:solidFill>
                  <a:latin typeface="Segoe UI"/>
                  <a:cs typeface="Segoe UI"/>
                </a:rPr>
                <a:t>DIREZIONE DELLE STRISCIATE RELATIVA AL PRIMO PASSAGGIO SULL'AREA DEL RILIEVO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47</xdr:row>
          <xdr:rowOff>114300</xdr:rowOff>
        </xdr:from>
        <xdr:to>
          <xdr:col>2</xdr:col>
          <xdr:colOff>714375</xdr:colOff>
          <xdr:row>49</xdr:row>
          <xdr:rowOff>95250</xdr:rowOff>
        </xdr:to>
        <xdr:sp macro="" textlink="">
          <xdr:nvSpPr>
            <xdr:cNvPr id="2079" name="Option Button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2 VERSO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114300</xdr:rowOff>
        </xdr:from>
        <xdr:to>
          <xdr:col>2</xdr:col>
          <xdr:colOff>714375</xdr:colOff>
          <xdr:row>51</xdr:row>
          <xdr:rowOff>95250</xdr:rowOff>
        </xdr:to>
        <xdr:sp macro="" textlink="">
          <xdr:nvSpPr>
            <xdr:cNvPr id="2080" name="Option Button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3 VERSO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51</xdr:row>
          <xdr:rowOff>114300</xdr:rowOff>
        </xdr:from>
        <xdr:to>
          <xdr:col>2</xdr:col>
          <xdr:colOff>714375</xdr:colOff>
          <xdr:row>53</xdr:row>
          <xdr:rowOff>95250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4 VERSO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53</xdr:row>
          <xdr:rowOff>114300</xdr:rowOff>
        </xdr:from>
        <xdr:to>
          <xdr:col>2</xdr:col>
          <xdr:colOff>714375</xdr:colOff>
          <xdr:row>55</xdr:row>
          <xdr:rowOff>95250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5 VERSO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51</xdr:row>
          <xdr:rowOff>114300</xdr:rowOff>
        </xdr:from>
        <xdr:to>
          <xdr:col>7</xdr:col>
          <xdr:colOff>438150</xdr:colOff>
          <xdr:row>53</xdr:row>
          <xdr:rowOff>95250</xdr:rowOff>
        </xdr:to>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5 VERSO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49</xdr:row>
          <xdr:rowOff>114300</xdr:rowOff>
        </xdr:from>
        <xdr:to>
          <xdr:col>7</xdr:col>
          <xdr:colOff>428625</xdr:colOff>
          <xdr:row>51</xdr:row>
          <xdr:rowOff>95250</xdr:rowOff>
        </xdr:to>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4 VERSO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47</xdr:row>
          <xdr:rowOff>114300</xdr:rowOff>
        </xdr:from>
        <xdr:to>
          <xdr:col>7</xdr:col>
          <xdr:colOff>428625</xdr:colOff>
          <xdr:row>49</xdr:row>
          <xdr:rowOff>95250</xdr:rowOff>
        </xdr:to>
        <xdr:sp macro="" textlink="">
          <xdr:nvSpPr>
            <xdr:cNvPr id="2085" name="Option Button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3 VERSO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53</xdr:row>
          <xdr:rowOff>104775</xdr:rowOff>
        </xdr:from>
        <xdr:to>
          <xdr:col>7</xdr:col>
          <xdr:colOff>428625</xdr:colOff>
          <xdr:row>55</xdr:row>
          <xdr:rowOff>85725</xdr:rowOff>
        </xdr:to>
        <xdr:sp macro="" textlink="">
          <xdr:nvSpPr>
            <xdr:cNvPr id="2086" name="Option Button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2 VERSO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57</xdr:row>
          <xdr:rowOff>171450</xdr:rowOff>
        </xdr:from>
        <xdr:to>
          <xdr:col>2</xdr:col>
          <xdr:colOff>171450</xdr:colOff>
          <xdr:row>59</xdr:row>
          <xdr:rowOff>9525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ESEGUI UNA ROTTA A GRIGLIA</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18</xdr:row>
          <xdr:rowOff>76200</xdr:rowOff>
        </xdr:from>
        <xdr:to>
          <xdr:col>0</xdr:col>
          <xdr:colOff>2524125</xdr:colOff>
          <xdr:row>24</xdr:row>
          <xdr:rowOff>9525</xdr:rowOff>
        </xdr:to>
        <xdr:sp macro="" textlink="">
          <xdr:nvSpPr>
            <xdr:cNvPr id="4097" name="Group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it-IT" sz="800" b="0" i="0" u="none" strike="noStrike" baseline="0">
                  <a:solidFill>
                    <a:srgbClr val="000000"/>
                  </a:solidFill>
                  <a:latin typeface="Segoe UI"/>
                  <a:cs typeface="Segoe UI"/>
                </a:rPr>
                <a:t>RIFERIMENTO PER L'ALTEZZA DI VOLO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104775</xdr:rowOff>
        </xdr:from>
        <xdr:to>
          <xdr:col>0</xdr:col>
          <xdr:colOff>1981200</xdr:colOff>
          <xdr:row>21</xdr:row>
          <xdr:rowOff>85725</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RISPETTO AL PUNTO DI DECOLLO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104775</xdr:rowOff>
        </xdr:from>
        <xdr:to>
          <xdr:col>0</xdr:col>
          <xdr:colOff>1981200</xdr:colOff>
          <xdr:row>23</xdr:row>
          <xdr:rowOff>85725</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RISPETTO AL TERRENO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40</xdr:row>
          <xdr:rowOff>76200</xdr:rowOff>
        </xdr:from>
        <xdr:to>
          <xdr:col>0</xdr:col>
          <xdr:colOff>2524125</xdr:colOff>
          <xdr:row>46</xdr:row>
          <xdr:rowOff>9525</xdr:rowOff>
        </xdr:to>
        <xdr:sp macro="" textlink="">
          <xdr:nvSpPr>
            <xdr:cNvPr id="4100" name="Group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it-IT" sz="800" b="0" i="0" u="none" strike="noStrike" baseline="0">
                  <a:solidFill>
                    <a:srgbClr val="000000"/>
                  </a:solidFill>
                  <a:latin typeface="Segoe UI"/>
                  <a:cs typeface="Segoe UI"/>
                </a:rPr>
                <a:t>POSIZIONE DI SCATTO DELLE FOTO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43</xdr:row>
          <xdr:rowOff>104775</xdr:rowOff>
        </xdr:from>
        <xdr:to>
          <xdr:col>0</xdr:col>
          <xdr:colOff>2343150</xdr:colOff>
          <xdr:row>45</xdr:row>
          <xdr:rowOff>85725</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ANCHE IN CORRISPONDENZA DELLE SVOLTE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41</xdr:row>
          <xdr:rowOff>104775</xdr:rowOff>
        </xdr:from>
        <xdr:to>
          <xdr:col>0</xdr:col>
          <xdr:colOff>2343150</xdr:colOff>
          <xdr:row>43</xdr:row>
          <xdr:rowOff>85725</xdr:rowOff>
        </xdr:to>
        <xdr:sp macro="" textlink="">
          <xdr:nvSpPr>
            <xdr:cNvPr id="4102" name="Option Button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SOLO LUNGO LE STRISCIATE</a:t>
              </a:r>
            </a:p>
          </xdr:txBody>
        </xdr:sp>
        <xdr:clientData/>
      </xdr:twoCellAnchor>
    </mc:Choice>
    <mc:Fallback/>
  </mc:AlternateContent>
  <xdr:twoCellAnchor editAs="oneCell">
    <xdr:from>
      <xdr:col>0</xdr:col>
      <xdr:colOff>1</xdr:colOff>
      <xdr:row>8</xdr:row>
      <xdr:rowOff>0</xdr:rowOff>
    </xdr:from>
    <xdr:to>
      <xdr:col>7</xdr:col>
      <xdr:colOff>180976</xdr:colOff>
      <xdr:row>10</xdr:row>
      <xdr:rowOff>95250</xdr:rowOff>
    </xdr:to>
    <xdr:sp macro="" textlink="">
      <xdr:nvSpPr>
        <xdr:cNvPr id="4" name="CasellaDiTesto 3">
          <a:extLst>
            <a:ext uri="{FF2B5EF4-FFF2-40B4-BE49-F238E27FC236}">
              <a16:creationId xmlns:a16="http://schemas.microsoft.com/office/drawing/2014/main" id="{00000000-0008-0000-0100-000004000000}"/>
            </a:ext>
          </a:extLst>
        </xdr:cNvPr>
        <xdr:cNvSpPr txBox="1"/>
      </xdr:nvSpPr>
      <xdr:spPr>
        <a:xfrm>
          <a:off x="1" y="1543050"/>
          <a:ext cx="7200900" cy="476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Il dato di partenza è il GSD richiesto dal quale, in funzione anche del</a:t>
          </a:r>
          <a:r>
            <a:rPr lang="it-IT" sz="1100" baseline="0"/>
            <a:t> tipo di ottica della fotocamera</a:t>
          </a:r>
          <a:r>
            <a:rPr lang="it-IT" sz="1100"/>
            <a:t>, viene calcolata l'altezza massima di volo. In base all'altezza di volo effettivamente impostata viene dedotto il GSD realmente ottenibile.</a:t>
          </a:r>
        </a:p>
      </xdr:txBody>
    </xdr:sp>
    <xdr:clientData/>
  </xdr:twoCellAnchor>
  <xdr:twoCellAnchor editAs="oneCell">
    <xdr:from>
      <xdr:col>0</xdr:col>
      <xdr:colOff>0</xdr:colOff>
      <xdr:row>26</xdr:row>
      <xdr:rowOff>180974</xdr:rowOff>
    </xdr:from>
    <xdr:to>
      <xdr:col>7</xdr:col>
      <xdr:colOff>180975</xdr:colOff>
      <xdr:row>30</xdr:row>
      <xdr:rowOff>66674</xdr:rowOff>
    </xdr:to>
    <xdr:sp macro="" textlink="">
      <xdr:nvSpPr>
        <xdr:cNvPr id="5" name="CasellaDiTesto 4">
          <a:extLst>
            <a:ext uri="{FF2B5EF4-FFF2-40B4-BE49-F238E27FC236}">
              <a16:creationId xmlns:a16="http://schemas.microsoft.com/office/drawing/2014/main" id="{00000000-0008-0000-0100-000005000000}"/>
            </a:ext>
          </a:extLst>
        </xdr:cNvPr>
        <xdr:cNvSpPr txBox="1"/>
      </xdr:nvSpPr>
      <xdr:spPr>
        <a:xfrm>
          <a:off x="0" y="5153024"/>
          <a:ext cx="7200900" cy="657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 dati di partenza sono la percentuale di sovrapposizione longitudinale delle fotografie e l'intervallo tra gli scatti. In funzione di tali parametri viene calcolata la velocità massima impostabile per l'APR. In base alla velocità effettivamente impostata viene dedotta la percentuale di sovrapposizione reale delle fotografie.</a:t>
          </a:r>
        </a:p>
      </xdr:txBody>
    </xdr:sp>
    <xdr:clientData/>
  </xdr:twoCellAnchor>
  <xdr:twoCellAnchor>
    <xdr:from>
      <xdr:col>0</xdr:col>
      <xdr:colOff>1</xdr:colOff>
      <xdr:row>49</xdr:row>
      <xdr:rowOff>9525</xdr:rowOff>
    </xdr:from>
    <xdr:to>
      <xdr:col>3</xdr:col>
      <xdr:colOff>2524126</xdr:colOff>
      <xdr:row>52</xdr:row>
      <xdr:rowOff>95251</xdr:rowOff>
    </xdr:to>
    <xdr:sp macro="" textlink="">
      <xdr:nvSpPr>
        <xdr:cNvPr id="6" name="CasellaDiTesto 5">
          <a:extLst>
            <a:ext uri="{FF2B5EF4-FFF2-40B4-BE49-F238E27FC236}">
              <a16:creationId xmlns:a16="http://schemas.microsoft.com/office/drawing/2014/main" id="{00000000-0008-0000-0100-000006000000}"/>
            </a:ext>
          </a:extLst>
        </xdr:cNvPr>
        <xdr:cNvSpPr txBox="1"/>
      </xdr:nvSpPr>
      <xdr:spPr>
        <a:xfrm>
          <a:off x="1" y="9191625"/>
          <a:ext cx="7277100"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Il dato di partenza è la percentuale di sovrapposizione trasversale delle fotografie dalla quale viene calcolata la distanza massima tra le strisciate parallele percorse dall'APR. La distanza tra le strisciate effettivamente impostata determina la percentuale di sovrapposizione reale delle fotografie.</a:t>
          </a:r>
        </a:p>
      </xdr:txBody>
    </xdr:sp>
    <xdr:clientData/>
  </xdr:twoCellAnchor>
  <xdr:twoCellAnchor editAs="oneCell">
    <xdr:from>
      <xdr:col>0</xdr:col>
      <xdr:colOff>0</xdr:colOff>
      <xdr:row>82</xdr:row>
      <xdr:rowOff>152400</xdr:rowOff>
    </xdr:from>
    <xdr:to>
      <xdr:col>0</xdr:col>
      <xdr:colOff>3076575</xdr:colOff>
      <xdr:row>101</xdr:row>
      <xdr:rowOff>33655</xdr:rowOff>
    </xdr:to>
    <xdr:pic>
      <xdr:nvPicPr>
        <xdr:cNvPr id="15" name="Immagine 14">
          <a:extLst>
            <a:ext uri="{FF2B5EF4-FFF2-40B4-BE49-F238E27FC236}">
              <a16:creationId xmlns:a16="http://schemas.microsoft.com/office/drawing/2014/main" id="{00000000-0008-0000-0100-00000F000000}"/>
            </a:ext>
          </a:extLst>
        </xdr:cNvPr>
        <xdr:cNvPicPr/>
      </xdr:nvPicPr>
      <xdr:blipFill>
        <a:blip xmlns:r="http://schemas.openxmlformats.org/officeDocument/2006/relationships" r:embed="rId1"/>
        <a:stretch>
          <a:fillRect/>
        </a:stretch>
      </xdr:blipFill>
      <xdr:spPr>
        <a:xfrm>
          <a:off x="0" y="16068675"/>
          <a:ext cx="3076575" cy="3500755"/>
        </a:xfrm>
        <a:prstGeom prst="rect">
          <a:avLst/>
        </a:prstGeom>
        <a:ln>
          <a:solidFill>
            <a:schemeClr val="bg2">
              <a:lumMod val="90000"/>
            </a:schemeClr>
          </a:solidFill>
        </a:ln>
      </xdr:spPr>
    </xdr:pic>
    <xdr:clientData/>
  </xdr:twoCellAnchor>
  <xdr:twoCellAnchor>
    <xdr:from>
      <xdr:col>0</xdr:col>
      <xdr:colOff>0</xdr:colOff>
      <xdr:row>72</xdr:row>
      <xdr:rowOff>19049</xdr:rowOff>
    </xdr:from>
    <xdr:to>
      <xdr:col>4</xdr:col>
      <xdr:colOff>0</xdr:colOff>
      <xdr:row>77</xdr:row>
      <xdr:rowOff>76200</xdr:rowOff>
    </xdr:to>
    <xdr:sp macro="" textlink="">
      <xdr:nvSpPr>
        <xdr:cNvPr id="16" name="CasellaDiTesto 15">
          <a:extLst>
            <a:ext uri="{FF2B5EF4-FFF2-40B4-BE49-F238E27FC236}">
              <a16:creationId xmlns:a16="http://schemas.microsoft.com/office/drawing/2014/main" id="{00000000-0008-0000-0100-000010000000}"/>
            </a:ext>
          </a:extLst>
        </xdr:cNvPr>
        <xdr:cNvSpPr txBox="1"/>
      </xdr:nvSpPr>
      <xdr:spPr>
        <a:xfrm>
          <a:off x="0" y="11687174"/>
          <a:ext cx="5734050" cy="10572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In questa sezione viene</a:t>
          </a:r>
          <a:r>
            <a:rPr lang="it-IT" sz="1100" baseline="0"/>
            <a:t> valutato il</a:t>
          </a:r>
          <a:r>
            <a:rPr lang="it-IT" sz="1100"/>
            <a:t> “trascinamento”, ossia l’effetto che si forma sui fotogrammi a causa del movimento relativo tra la camera ed il soggetto durante lo scatto. L'immagine</a:t>
          </a:r>
          <a:r>
            <a:rPr lang="it-IT" sz="1100" baseline="0"/>
            <a:t> seguente è tratta dalla pubblicazione:</a:t>
          </a:r>
          <a:endParaRPr lang="it-IT" sz="1100">
            <a:solidFill>
              <a:schemeClr val="dk1"/>
            </a:solidFill>
            <a:effectLst/>
            <a:latin typeface="+mn-lt"/>
            <a:ea typeface="+mn-ea"/>
            <a:cs typeface="+mn-cs"/>
          </a:endParaRPr>
        </a:p>
        <a:p>
          <a:r>
            <a:rPr lang="it-IT" sz="1100">
              <a:solidFill>
                <a:schemeClr val="dk1"/>
              </a:solidFill>
              <a:effectLst/>
              <a:latin typeface="+mn-lt"/>
              <a:ea typeface="+mn-ea"/>
              <a:cs typeface="+mn-cs"/>
            </a:rPr>
            <a:t>Cannarozzo, Cucchiarini, Meschieri. </a:t>
          </a:r>
          <a:r>
            <a:rPr lang="it-IT" sz="1100" i="1"/>
            <a:t>La pressa dei fotogrammi</a:t>
          </a:r>
          <a:r>
            <a:rPr lang="it-IT" sz="1100"/>
            <a:t>. Zanichelli Editore s.p.a., 2012</a:t>
          </a:r>
        </a:p>
        <a:p>
          <a:r>
            <a:rPr lang="it-IT" sz="1100"/>
            <a:t>alla</a:t>
          </a:r>
          <a:r>
            <a:rPr lang="it-IT" sz="1100" baseline="0"/>
            <a:t> quale si rimanda per approfondimenti.</a:t>
          </a:r>
          <a:endParaRPr lang="it-IT" sz="1100"/>
        </a:p>
      </xdr:txBody>
    </xdr:sp>
    <xdr:clientData/>
  </xdr:twoCellAnchor>
  <xdr:twoCellAnchor>
    <xdr:from>
      <xdr:col>0</xdr:col>
      <xdr:colOff>0</xdr:colOff>
      <xdr:row>61</xdr:row>
      <xdr:rowOff>0</xdr:rowOff>
    </xdr:from>
    <xdr:to>
      <xdr:col>4</xdr:col>
      <xdr:colOff>314324</xdr:colOff>
      <xdr:row>65</xdr:row>
      <xdr:rowOff>85725</xdr:rowOff>
    </xdr:to>
    <xdr:sp macro="" textlink="">
      <xdr:nvSpPr>
        <xdr:cNvPr id="18" name="CasellaDiTesto 17">
          <a:extLst>
            <a:ext uri="{FF2B5EF4-FFF2-40B4-BE49-F238E27FC236}">
              <a16:creationId xmlns:a16="http://schemas.microsoft.com/office/drawing/2014/main" id="{00000000-0008-0000-0100-000012000000}"/>
            </a:ext>
          </a:extLst>
        </xdr:cNvPr>
        <xdr:cNvSpPr txBox="1"/>
      </xdr:nvSpPr>
      <xdr:spPr>
        <a:xfrm>
          <a:off x="0" y="11668125"/>
          <a:ext cx="6048374" cy="847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Il calcolo del tempo necessario per percorrere la rotta viene svolto considerando la velocità costante ed aggiungendo successivamente un ritardo dovuto alla decelerazione prima di ogni svolta, allo stazionamento sul waypoint ed all'accelerazione dopo la svolta per raggiungere nuovamente la velocità impostata.</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0</xdr:col>
          <xdr:colOff>2152650</xdr:colOff>
          <xdr:row>3</xdr:row>
          <xdr:rowOff>19050</xdr:rowOff>
        </xdr:to>
        <xdr:sp macro="" textlink="">
          <xdr:nvSpPr>
            <xdr:cNvPr id="4105" name="Drop Down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4</xdr:col>
      <xdr:colOff>76200</xdr:colOff>
      <xdr:row>16</xdr:row>
      <xdr:rowOff>47625</xdr:rowOff>
    </xdr:from>
    <xdr:ext cx="1095375" cy="1095375"/>
    <xdr:pic>
      <xdr:nvPicPr>
        <xdr:cNvPr id="2" name="Immagin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57575" y="5114925"/>
          <a:ext cx="1095375" cy="1095375"/>
        </a:xfrm>
        <a:prstGeom prst="rect">
          <a:avLst/>
        </a:prstGeom>
      </xdr:spPr>
    </xdr:pic>
    <xdr:clientData/>
  </xdr:oneCellAnchor>
  <xdr:twoCellAnchor editAs="oneCell">
    <xdr:from>
      <xdr:col>1</xdr:col>
      <xdr:colOff>161925</xdr:colOff>
      <xdr:row>16</xdr:row>
      <xdr:rowOff>180975</xdr:rowOff>
    </xdr:from>
    <xdr:to>
      <xdr:col>3</xdr:col>
      <xdr:colOff>8255</xdr:colOff>
      <xdr:row>21</xdr:row>
      <xdr:rowOff>38100</xdr:rowOff>
    </xdr:to>
    <xdr:pic>
      <xdr:nvPicPr>
        <xdr:cNvPr id="3" name="Immagine 2">
          <a:hlinkClick xmlns:r="http://schemas.openxmlformats.org/officeDocument/2006/relationships" r:id="rId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61950" y="5248275"/>
          <a:ext cx="2418080" cy="809625"/>
        </a:xfrm>
        <a:prstGeom prst="rect">
          <a:avLst/>
        </a:prstGeom>
      </xdr:spPr>
    </xdr:pic>
    <xdr:clientData/>
  </xdr:twoCellAnchor>
  <xdr:twoCellAnchor>
    <xdr:from>
      <xdr:col>0</xdr:col>
      <xdr:colOff>142875</xdr:colOff>
      <xdr:row>5</xdr:row>
      <xdr:rowOff>47627</xdr:rowOff>
    </xdr:from>
    <xdr:to>
      <xdr:col>6</xdr:col>
      <xdr:colOff>266700</xdr:colOff>
      <xdr:row>14</xdr:row>
      <xdr:rowOff>123826</xdr:rowOff>
    </xdr:to>
    <xdr:sp macro="" textlink="">
      <xdr:nvSpPr>
        <xdr:cNvPr id="4" name="CasellaDiTesto 3">
          <a:extLst>
            <a:ext uri="{FF2B5EF4-FFF2-40B4-BE49-F238E27FC236}">
              <a16:creationId xmlns:a16="http://schemas.microsoft.com/office/drawing/2014/main" id="{00000000-0008-0000-0600-000004000000}"/>
            </a:ext>
          </a:extLst>
        </xdr:cNvPr>
        <xdr:cNvSpPr txBox="1"/>
      </xdr:nvSpPr>
      <xdr:spPr>
        <a:xfrm>
          <a:off x="142875" y="1085852"/>
          <a:ext cx="4724400" cy="1819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it-IT" sz="1300" baseline="0">
              <a:latin typeface="+mn-lt"/>
            </a:rPr>
            <a:t>Se pensi che questo foglio di calcolo ti possa essere utile, valuta di effettuare una donazione. </a:t>
          </a:r>
          <a:r>
            <a:rPr lang="it-IT" sz="1300" baseline="0">
              <a:solidFill>
                <a:schemeClr val="dk1"/>
              </a:solidFill>
              <a:effectLst/>
              <a:latin typeface="+mn-lt"/>
              <a:ea typeface="+mn-ea"/>
              <a:cs typeface="+mn-cs"/>
            </a:rPr>
            <a:t>Con un minimo di </a:t>
          </a:r>
          <a:r>
            <a:rPr lang="it-IT" sz="1300" b="1" baseline="0">
              <a:solidFill>
                <a:schemeClr val="dk1"/>
              </a:solidFill>
              <a:effectLst/>
              <a:latin typeface="+mn-lt"/>
              <a:ea typeface="+mn-ea"/>
              <a:cs typeface="+mn-cs"/>
            </a:rPr>
            <a:t>28.00 €</a:t>
          </a:r>
          <a:r>
            <a:rPr lang="it-IT" sz="1300" baseline="0">
              <a:solidFill>
                <a:schemeClr val="dk1"/>
              </a:solidFill>
              <a:effectLst/>
              <a:latin typeface="+mn-lt"/>
              <a:ea typeface="+mn-ea"/>
              <a:cs typeface="+mn-cs"/>
            </a:rPr>
            <a:t> potrai averlo senza limitazioni. </a:t>
          </a:r>
          <a:r>
            <a:rPr lang="it-IT" sz="1300" baseline="0">
              <a:latin typeface="Calibri" panose="020F0502020204030204" pitchFamily="34" charset="0"/>
            </a:rPr>
            <a:t>Te ne sarei molto grato e sarebbe un gesto tangibile che mi farebbe capire quanto vale il mio lavoro per </a:t>
          </a:r>
          <a:r>
            <a:rPr lang="it-IT" sz="1300" baseline="0">
              <a:solidFill>
                <a:schemeClr val="dk1"/>
              </a:solidFill>
              <a:latin typeface="Calibri" panose="020F0502020204030204" pitchFamily="34" charset="0"/>
              <a:ea typeface="+mn-ea"/>
              <a:cs typeface="+mn-cs"/>
            </a:rPr>
            <a:t>te. </a:t>
          </a:r>
          <a:r>
            <a:rPr lang="it-IT" sz="1300" baseline="0">
              <a:latin typeface="Calibri" panose="020F0502020204030204" pitchFamily="34" charset="0"/>
            </a:rPr>
            <a:t>A seguito della donazione, ti invierò il file via email.</a:t>
          </a:r>
        </a:p>
        <a:p>
          <a:r>
            <a:rPr lang="it-IT" sz="1300" baseline="0">
              <a:latin typeface="Calibri" panose="020F0502020204030204" pitchFamily="34" charset="0"/>
            </a:rPr>
            <a:t>Ti ringrazio. </a:t>
          </a:r>
        </a:p>
        <a:p>
          <a:r>
            <a:rPr lang="it-IT" sz="1300" baseline="0">
              <a:latin typeface="Calibri" panose="020F0502020204030204" pitchFamily="34" charset="0"/>
            </a:rPr>
            <a:t>Ciao!</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2.vml"/><Relationship Id="rId7" Type="http://schemas.openxmlformats.org/officeDocument/2006/relationships/ctrlProp" Target="../ctrlProps/ctrlProp1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6.xml"/><Relationship Id="rId5" Type="http://schemas.openxmlformats.org/officeDocument/2006/relationships/ctrlProp" Target="../ctrlProps/ctrlProp1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1"/>
  <dimension ref="A1:I65"/>
  <sheetViews>
    <sheetView showGridLines="0" tabSelected="1" zoomScaleNormal="100" workbookViewId="0">
      <selection activeCell="B28" sqref="B28"/>
    </sheetView>
  </sheetViews>
  <sheetFormatPr defaultColWidth="9.140625" defaultRowHeight="15"/>
  <cols>
    <col min="1" max="1" width="9.140625" style="55"/>
    <col min="2" max="2" width="23.28515625" style="55" customWidth="1"/>
    <col min="3" max="3" width="16.140625" style="55" customWidth="1"/>
    <col min="4" max="4" width="6.5703125" style="55" customWidth="1"/>
    <col min="5" max="5" width="11.28515625" style="55" customWidth="1"/>
    <col min="6" max="16384" width="9.140625" style="55"/>
  </cols>
  <sheetData>
    <row r="1" spans="1:1" ht="17.25">
      <c r="A1" s="54" t="s">
        <v>165</v>
      </c>
    </row>
    <row r="2" spans="1:1" s="96" customFormat="1">
      <c r="A2" s="95" t="s">
        <v>319</v>
      </c>
    </row>
    <row r="3" spans="1:1" s="96" customFormat="1">
      <c r="A3" s="95" t="s">
        <v>320</v>
      </c>
    </row>
    <row r="19" spans="1:7">
      <c r="A19" s="46"/>
    </row>
    <row r="20" spans="1:7">
      <c r="A20" s="46"/>
      <c r="E20" s="20"/>
      <c r="G20" s="20"/>
    </row>
    <row r="21" spans="1:7">
      <c r="A21" s="46"/>
      <c r="E21" s="20"/>
      <c r="G21" s="20"/>
    </row>
    <row r="22" spans="1:7">
      <c r="A22" s="46"/>
    </row>
    <row r="23" spans="1:7">
      <c r="A23" s="46"/>
    </row>
    <row r="24" spans="1:7">
      <c r="A24" s="46"/>
    </row>
    <row r="25" spans="1:7">
      <c r="A25" s="46"/>
    </row>
    <row r="26" spans="1:7">
      <c r="A26" s="46"/>
    </row>
    <row r="27" spans="1:7" ht="15.75">
      <c r="A27" s="56" t="s">
        <v>148</v>
      </c>
      <c r="B27" s="57"/>
    </row>
    <row r="28" spans="1:7">
      <c r="A28" s="20" t="s">
        <v>99</v>
      </c>
      <c r="B28" s="2" t="s">
        <v>161</v>
      </c>
    </row>
    <row r="29" spans="1:7">
      <c r="A29" s="20">
        <v>1</v>
      </c>
      <c r="B29" s="2" t="s">
        <v>255</v>
      </c>
    </row>
    <row r="30" spans="1:7">
      <c r="A30" s="20">
        <v>2</v>
      </c>
      <c r="B30" s="2" t="s">
        <v>256</v>
      </c>
    </row>
    <row r="31" spans="1:7">
      <c r="A31" s="20">
        <v>3</v>
      </c>
      <c r="B31" s="2" t="s">
        <v>257</v>
      </c>
    </row>
    <row r="32" spans="1:7">
      <c r="A32" s="20">
        <v>4</v>
      </c>
      <c r="B32" s="2" t="s">
        <v>258</v>
      </c>
    </row>
    <row r="33" spans="1:9">
      <c r="A33" s="20">
        <v>5</v>
      </c>
      <c r="B33" s="2" t="s">
        <v>259</v>
      </c>
    </row>
    <row r="37" spans="1:9" ht="15.75">
      <c r="A37" s="58" t="s">
        <v>149</v>
      </c>
    </row>
    <row r="38" spans="1:9">
      <c r="A38" s="20" t="s">
        <v>99</v>
      </c>
      <c r="B38" s="20" t="s">
        <v>145</v>
      </c>
      <c r="C38" s="20" t="s">
        <v>146</v>
      </c>
      <c r="D38" s="55" t="s">
        <v>147</v>
      </c>
    </row>
    <row r="39" spans="1:9">
      <c r="A39" s="20"/>
      <c r="B39" s="59" t="s">
        <v>57</v>
      </c>
      <c r="C39" s="59" t="s">
        <v>57</v>
      </c>
    </row>
    <row r="40" spans="1:9">
      <c r="A40" s="20">
        <v>1</v>
      </c>
      <c r="B40" s="1">
        <v>45.8630710104431</v>
      </c>
      <c r="C40" s="17">
        <v>10.7715613232427</v>
      </c>
      <c r="D40" s="55" t="s">
        <v>144</v>
      </c>
    </row>
    <row r="41" spans="1:9">
      <c r="A41" s="20">
        <v>2</v>
      </c>
      <c r="B41" s="1">
        <v>45.864490539065002</v>
      </c>
      <c r="C41" s="1">
        <v>10.7710248814397</v>
      </c>
      <c r="D41" s="97" t="s">
        <v>160</v>
      </c>
      <c r="E41" s="98"/>
      <c r="F41" s="98"/>
      <c r="G41" s="98"/>
      <c r="H41" s="98"/>
      <c r="I41" s="98"/>
    </row>
    <row r="42" spans="1:9">
      <c r="A42" s="20">
        <v>3</v>
      </c>
      <c r="B42" s="1">
        <v>45.862226747284303</v>
      </c>
      <c r="C42" s="1">
        <v>10.7691580639653</v>
      </c>
      <c r="D42" s="97"/>
      <c r="E42" s="98"/>
      <c r="F42" s="98"/>
      <c r="G42" s="98"/>
      <c r="H42" s="98"/>
      <c r="I42" s="98"/>
    </row>
    <row r="43" spans="1:9">
      <c r="A43" s="20">
        <v>4</v>
      </c>
      <c r="B43" s="1">
        <v>45.862727329642503</v>
      </c>
      <c r="C43" s="1">
        <v>10.76748436554</v>
      </c>
      <c r="D43" s="97"/>
      <c r="E43" s="98"/>
      <c r="F43" s="98"/>
      <c r="G43" s="98"/>
      <c r="H43" s="98"/>
      <c r="I43" s="98"/>
    </row>
    <row r="44" spans="1:9">
      <c r="A44" s="20">
        <v>5</v>
      </c>
      <c r="B44" s="1">
        <v>45.865626135865398</v>
      </c>
      <c r="C44" s="1">
        <v>10.7698554383092</v>
      </c>
      <c r="D44" s="97"/>
      <c r="E44" s="98"/>
      <c r="F44" s="98"/>
      <c r="G44" s="98"/>
      <c r="H44" s="98"/>
      <c r="I44" s="98"/>
    </row>
    <row r="45" spans="1:9">
      <c r="A45" s="46"/>
    </row>
    <row r="46" spans="1:9">
      <c r="A46" s="46"/>
    </row>
    <row r="47" spans="1:9">
      <c r="A47" s="46"/>
    </row>
    <row r="48" spans="1:9">
      <c r="A48" s="46"/>
    </row>
    <row r="49" spans="1:9">
      <c r="A49" s="46"/>
    </row>
    <row r="50" spans="1:9">
      <c r="A50" s="46"/>
    </row>
    <row r="51" spans="1:9">
      <c r="A51" s="46"/>
    </row>
    <row r="52" spans="1:9">
      <c r="A52" s="46"/>
    </row>
    <row r="53" spans="1:9">
      <c r="A53" s="46"/>
    </row>
    <row r="54" spans="1:9">
      <c r="A54" s="46"/>
    </row>
    <row r="55" spans="1:9">
      <c r="A55" s="46"/>
    </row>
    <row r="56" spans="1:9">
      <c r="A56" s="46"/>
    </row>
    <row r="57" spans="1:9">
      <c r="A57" s="46"/>
    </row>
    <row r="58" spans="1:9">
      <c r="A58" s="46"/>
    </row>
    <row r="59" spans="1:9">
      <c r="A59" s="46"/>
    </row>
    <row r="60" spans="1:9">
      <c r="A60" s="46"/>
    </row>
    <row r="62" spans="1:9">
      <c r="A62" s="55" t="s">
        <v>227</v>
      </c>
      <c r="C62" s="60">
        <f>'CALCOLO ROTTA 1'!O250</f>
        <v>69547.702064146477</v>
      </c>
      <c r="D62" s="55" t="s">
        <v>228</v>
      </c>
      <c r="E62" s="61">
        <f>C62/10000</f>
        <v>6.9547702064146479</v>
      </c>
      <c r="F62" s="55" t="s">
        <v>225</v>
      </c>
    </row>
    <row r="63" spans="1:9">
      <c r="A63" s="55" t="s">
        <v>265</v>
      </c>
      <c r="C63" s="60">
        <f>CEILING(ROTTE!P27,1)</f>
        <v>9490</v>
      </c>
      <c r="D63" s="55" t="s">
        <v>47</v>
      </c>
      <c r="E63" s="99" t="s">
        <v>269</v>
      </c>
      <c r="F63" s="99"/>
      <c r="G63" s="99"/>
      <c r="H63" s="99"/>
      <c r="I63" s="99"/>
    </row>
    <row r="64" spans="1:9">
      <c r="E64" s="99"/>
      <c r="F64" s="99"/>
      <c r="G64" s="99"/>
      <c r="H64" s="99"/>
      <c r="I64" s="99"/>
    </row>
    <row r="65" spans="5:9">
      <c r="E65" s="99"/>
      <c r="F65" s="99"/>
      <c r="G65" s="99"/>
      <c r="H65" s="99"/>
      <c r="I65" s="99"/>
    </row>
  </sheetData>
  <sheetProtection algorithmName="SHA-512" hashValue="d9R4GsqWNvHf3K/0z32zb7+r8bhxujmgDUVY8u6OuLxVOpAY+apVWIISB2jcQ+ba01Y3zF6nIru+sA24VY6tsw==" saltValue="uvBOeDw8P43MGI6+THk2pA==" spinCount="100000" sheet="1" objects="1" scenarios="1" selectLockedCells="1"/>
  <mergeCells count="2">
    <mergeCell ref="D41:I44"/>
    <mergeCell ref="E63:I65"/>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75" r:id="rId4" name="Group Box 27">
              <controlPr defaultSize="0" autoFill="0" autoPict="0">
                <anchor moveWithCells="1">
                  <from>
                    <xdr:col>0</xdr:col>
                    <xdr:colOff>0</xdr:colOff>
                    <xdr:row>19</xdr:row>
                    <xdr:rowOff>9525</xdr:rowOff>
                  </from>
                  <to>
                    <xdr:col>2</xdr:col>
                    <xdr:colOff>1066800</xdr:colOff>
                    <xdr:row>23</xdr:row>
                    <xdr:rowOff>180975</xdr:rowOff>
                  </to>
                </anchor>
              </controlPr>
            </control>
          </mc:Choice>
        </mc:AlternateContent>
        <mc:AlternateContent xmlns:mc="http://schemas.openxmlformats.org/markup-compatibility/2006">
          <mc:Choice Requires="x14">
            <control shapeId="2076" r:id="rId5" name="Option Button 28">
              <controlPr defaultSize="0" autoFill="0" autoLine="0" autoPict="0">
                <anchor moveWithCells="1">
                  <from>
                    <xdr:col>0</xdr:col>
                    <xdr:colOff>0</xdr:colOff>
                    <xdr:row>19</xdr:row>
                    <xdr:rowOff>152400</xdr:rowOff>
                  </from>
                  <to>
                    <xdr:col>2</xdr:col>
                    <xdr:colOff>771525</xdr:colOff>
                    <xdr:row>21</xdr:row>
                    <xdr:rowOff>85725</xdr:rowOff>
                  </to>
                </anchor>
              </controlPr>
            </control>
          </mc:Choice>
        </mc:AlternateContent>
        <mc:AlternateContent xmlns:mc="http://schemas.openxmlformats.org/markup-compatibility/2006">
          <mc:Choice Requires="x14">
            <control shapeId="2077" r:id="rId6" name="Option Button 29">
              <controlPr defaultSize="0" autoFill="0" autoLine="0" autoPict="0">
                <anchor moveWithCells="1">
                  <from>
                    <xdr:col>0</xdr:col>
                    <xdr:colOff>0</xdr:colOff>
                    <xdr:row>21</xdr:row>
                    <xdr:rowOff>142875</xdr:rowOff>
                  </from>
                  <to>
                    <xdr:col>2</xdr:col>
                    <xdr:colOff>923925</xdr:colOff>
                    <xdr:row>23</xdr:row>
                    <xdr:rowOff>38100</xdr:rowOff>
                  </to>
                </anchor>
              </controlPr>
            </control>
          </mc:Choice>
        </mc:AlternateContent>
        <mc:AlternateContent xmlns:mc="http://schemas.openxmlformats.org/markup-compatibility/2006">
          <mc:Choice Requires="x14">
            <control shapeId="2078" r:id="rId7" name="Group Box 30">
              <controlPr defaultSize="0" autoFill="0" autoPict="0">
                <anchor moveWithCells="1">
                  <from>
                    <xdr:col>0</xdr:col>
                    <xdr:colOff>0</xdr:colOff>
                    <xdr:row>45</xdr:row>
                    <xdr:rowOff>152400</xdr:rowOff>
                  </from>
                  <to>
                    <xdr:col>7</xdr:col>
                    <xdr:colOff>504825</xdr:colOff>
                    <xdr:row>55</xdr:row>
                    <xdr:rowOff>180975</xdr:rowOff>
                  </to>
                </anchor>
              </controlPr>
            </control>
          </mc:Choice>
        </mc:AlternateContent>
        <mc:AlternateContent xmlns:mc="http://schemas.openxmlformats.org/markup-compatibility/2006">
          <mc:Choice Requires="x14">
            <control shapeId="2079" r:id="rId8" name="Option Button 31">
              <controlPr defaultSize="0" autoFill="0" autoLine="0" autoPict="0">
                <anchor moveWithCells="1">
                  <from>
                    <xdr:col>0</xdr:col>
                    <xdr:colOff>0</xdr:colOff>
                    <xdr:row>47</xdr:row>
                    <xdr:rowOff>114300</xdr:rowOff>
                  </from>
                  <to>
                    <xdr:col>2</xdr:col>
                    <xdr:colOff>714375</xdr:colOff>
                    <xdr:row>49</xdr:row>
                    <xdr:rowOff>95250</xdr:rowOff>
                  </to>
                </anchor>
              </controlPr>
            </control>
          </mc:Choice>
        </mc:AlternateContent>
        <mc:AlternateContent xmlns:mc="http://schemas.openxmlformats.org/markup-compatibility/2006">
          <mc:Choice Requires="x14">
            <control shapeId="2080" r:id="rId9" name="Option Button 32">
              <controlPr defaultSize="0" autoFill="0" autoLine="0" autoPict="0">
                <anchor moveWithCells="1">
                  <from>
                    <xdr:col>0</xdr:col>
                    <xdr:colOff>0</xdr:colOff>
                    <xdr:row>49</xdr:row>
                    <xdr:rowOff>114300</xdr:rowOff>
                  </from>
                  <to>
                    <xdr:col>2</xdr:col>
                    <xdr:colOff>714375</xdr:colOff>
                    <xdr:row>51</xdr:row>
                    <xdr:rowOff>95250</xdr:rowOff>
                  </to>
                </anchor>
              </controlPr>
            </control>
          </mc:Choice>
        </mc:AlternateContent>
        <mc:AlternateContent xmlns:mc="http://schemas.openxmlformats.org/markup-compatibility/2006">
          <mc:Choice Requires="x14">
            <control shapeId="2081" r:id="rId10" name="Option Button 33">
              <controlPr defaultSize="0" autoFill="0" autoLine="0" autoPict="0">
                <anchor moveWithCells="1">
                  <from>
                    <xdr:col>0</xdr:col>
                    <xdr:colOff>0</xdr:colOff>
                    <xdr:row>51</xdr:row>
                    <xdr:rowOff>114300</xdr:rowOff>
                  </from>
                  <to>
                    <xdr:col>2</xdr:col>
                    <xdr:colOff>714375</xdr:colOff>
                    <xdr:row>53</xdr:row>
                    <xdr:rowOff>95250</xdr:rowOff>
                  </to>
                </anchor>
              </controlPr>
            </control>
          </mc:Choice>
        </mc:AlternateContent>
        <mc:AlternateContent xmlns:mc="http://schemas.openxmlformats.org/markup-compatibility/2006">
          <mc:Choice Requires="x14">
            <control shapeId="2082" r:id="rId11" name="Option Button 34">
              <controlPr defaultSize="0" autoFill="0" autoLine="0" autoPict="0">
                <anchor moveWithCells="1">
                  <from>
                    <xdr:col>0</xdr:col>
                    <xdr:colOff>0</xdr:colOff>
                    <xdr:row>53</xdr:row>
                    <xdr:rowOff>114300</xdr:rowOff>
                  </from>
                  <to>
                    <xdr:col>2</xdr:col>
                    <xdr:colOff>714375</xdr:colOff>
                    <xdr:row>55</xdr:row>
                    <xdr:rowOff>95250</xdr:rowOff>
                  </to>
                </anchor>
              </controlPr>
            </control>
          </mc:Choice>
        </mc:AlternateContent>
        <mc:AlternateContent xmlns:mc="http://schemas.openxmlformats.org/markup-compatibility/2006">
          <mc:Choice Requires="x14">
            <control shapeId="2083" r:id="rId12" name="Option Button 35">
              <controlPr defaultSize="0" autoFill="0" autoLine="0" autoPict="0">
                <anchor moveWithCells="1">
                  <from>
                    <xdr:col>2</xdr:col>
                    <xdr:colOff>1038225</xdr:colOff>
                    <xdr:row>51</xdr:row>
                    <xdr:rowOff>114300</xdr:rowOff>
                  </from>
                  <to>
                    <xdr:col>7</xdr:col>
                    <xdr:colOff>438150</xdr:colOff>
                    <xdr:row>53</xdr:row>
                    <xdr:rowOff>95250</xdr:rowOff>
                  </to>
                </anchor>
              </controlPr>
            </control>
          </mc:Choice>
        </mc:AlternateContent>
        <mc:AlternateContent xmlns:mc="http://schemas.openxmlformats.org/markup-compatibility/2006">
          <mc:Choice Requires="x14">
            <control shapeId="2084" r:id="rId13" name="Option Button 36">
              <controlPr defaultSize="0" autoFill="0" autoLine="0" autoPict="0">
                <anchor moveWithCells="1">
                  <from>
                    <xdr:col>2</xdr:col>
                    <xdr:colOff>1038225</xdr:colOff>
                    <xdr:row>49</xdr:row>
                    <xdr:rowOff>114300</xdr:rowOff>
                  </from>
                  <to>
                    <xdr:col>7</xdr:col>
                    <xdr:colOff>428625</xdr:colOff>
                    <xdr:row>51</xdr:row>
                    <xdr:rowOff>95250</xdr:rowOff>
                  </to>
                </anchor>
              </controlPr>
            </control>
          </mc:Choice>
        </mc:AlternateContent>
        <mc:AlternateContent xmlns:mc="http://schemas.openxmlformats.org/markup-compatibility/2006">
          <mc:Choice Requires="x14">
            <control shapeId="2085" r:id="rId14" name="Option Button 37">
              <controlPr defaultSize="0" autoFill="0" autoLine="0" autoPict="0">
                <anchor moveWithCells="1">
                  <from>
                    <xdr:col>2</xdr:col>
                    <xdr:colOff>1038225</xdr:colOff>
                    <xdr:row>47</xdr:row>
                    <xdr:rowOff>114300</xdr:rowOff>
                  </from>
                  <to>
                    <xdr:col>7</xdr:col>
                    <xdr:colOff>428625</xdr:colOff>
                    <xdr:row>49</xdr:row>
                    <xdr:rowOff>95250</xdr:rowOff>
                  </to>
                </anchor>
              </controlPr>
            </control>
          </mc:Choice>
        </mc:AlternateContent>
        <mc:AlternateContent xmlns:mc="http://schemas.openxmlformats.org/markup-compatibility/2006">
          <mc:Choice Requires="x14">
            <control shapeId="2086" r:id="rId15" name="Option Button 38">
              <controlPr defaultSize="0" autoFill="0" autoLine="0" autoPict="0">
                <anchor moveWithCells="1">
                  <from>
                    <xdr:col>2</xdr:col>
                    <xdr:colOff>1038225</xdr:colOff>
                    <xdr:row>53</xdr:row>
                    <xdr:rowOff>104775</xdr:rowOff>
                  </from>
                  <to>
                    <xdr:col>7</xdr:col>
                    <xdr:colOff>428625</xdr:colOff>
                    <xdr:row>55</xdr:row>
                    <xdr:rowOff>85725</xdr:rowOff>
                  </to>
                </anchor>
              </controlPr>
            </control>
          </mc:Choice>
        </mc:AlternateContent>
        <mc:AlternateContent xmlns:mc="http://schemas.openxmlformats.org/markup-compatibility/2006">
          <mc:Choice Requires="x14">
            <control shapeId="2087" r:id="rId16" name="Check Box 39">
              <controlPr defaultSize="0" autoFill="0" autoLine="0" autoPict="0">
                <anchor moveWithCells="1">
                  <from>
                    <xdr:col>0</xdr:col>
                    <xdr:colOff>0</xdr:colOff>
                    <xdr:row>57</xdr:row>
                    <xdr:rowOff>171450</xdr:rowOff>
                  </from>
                  <to>
                    <xdr:col>2</xdr:col>
                    <xdr:colOff>171450</xdr:colOff>
                    <xdr:row>59</xdr:row>
                    <xdr:rowOff>9525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879C50AD-CA95-4A9F-9043-FCF636272C68}">
            <xm:f>'CALCOLO ROTTA 1'!$B$64=2</xm:f>
            <x14:dxf>
              <fill>
                <patternFill>
                  <bgColor theme="4" tint="0.79998168889431442"/>
                </patternFill>
              </fill>
            </x14:dxf>
          </x14:cfRule>
          <xm:sqref>B40:C44</xm:sqref>
        </x14:conditionalFormatting>
        <x14:conditionalFormatting xmlns:xm="http://schemas.microsoft.com/office/excel/2006/main">
          <x14:cfRule type="expression" priority="1" id="{22ACC0A2-15ED-4895-AD33-7605D8E0ADD0}">
            <xm:f>'CALCOLO ROTTA 1'!$B$64=1</xm:f>
            <x14:dxf>
              <fill>
                <patternFill>
                  <bgColor theme="4" tint="0.79998168889431442"/>
                </patternFill>
              </fill>
            </x14:dxf>
          </x14:cfRule>
          <xm:sqref>B28:B33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1:AB104"/>
  <sheetViews>
    <sheetView showGridLines="0" zoomScaleNormal="100" workbookViewId="0">
      <selection activeCell="B12" sqref="B12"/>
    </sheetView>
  </sheetViews>
  <sheetFormatPr defaultColWidth="9.140625" defaultRowHeight="15"/>
  <cols>
    <col min="1" max="1" width="51.85546875" bestFit="1" customWidth="1"/>
    <col min="2" max="2" width="10.5703125" style="20" customWidth="1"/>
    <col min="3" max="3" width="12.140625" customWidth="1"/>
    <col min="4" max="4" width="11.42578125" bestFit="1" customWidth="1"/>
    <col min="5" max="5" width="6.85546875" bestFit="1" customWidth="1"/>
    <col min="6" max="6" width="6.42578125" customWidth="1"/>
    <col min="7" max="7" width="6" customWidth="1"/>
    <col min="15" max="15" width="48.42578125" style="20" customWidth="1"/>
    <col min="16" max="16" width="13.7109375" style="20" bestFit="1" customWidth="1"/>
    <col min="17" max="17" width="12.7109375" style="20" bestFit="1" customWidth="1"/>
    <col min="18" max="18" width="10" style="20" bestFit="1" customWidth="1"/>
    <col min="19" max="19" width="37.5703125" style="20" bestFit="1" customWidth="1"/>
    <col min="20" max="20" width="37.5703125" style="20" customWidth="1"/>
    <col min="21" max="21" width="36.28515625" style="20" bestFit="1" customWidth="1"/>
    <col min="22" max="22" width="32.140625" style="20" bestFit="1" customWidth="1"/>
    <col min="23" max="24" width="5" style="20" bestFit="1" customWidth="1"/>
    <col min="25" max="25" width="5.5703125" style="20" bestFit="1" customWidth="1"/>
    <col min="26" max="26" width="7.7109375" style="20" bestFit="1" customWidth="1"/>
    <col min="27" max="27" width="5.7109375" style="20" bestFit="1" customWidth="1"/>
    <col min="28" max="28" width="5.5703125" style="20" bestFit="1" customWidth="1"/>
    <col min="29" max="29" width="5.140625" bestFit="1" customWidth="1"/>
    <col min="30" max="31" width="5" bestFit="1" customWidth="1"/>
  </cols>
  <sheetData>
    <row r="1" spans="1:11" s="20" customFormat="1" ht="15.75">
      <c r="A1" s="26" t="s">
        <v>242</v>
      </c>
      <c r="D1" s="21"/>
      <c r="E1" s="21"/>
    </row>
    <row r="2" spans="1:11" s="20" customFormat="1">
      <c r="E2" s="21"/>
    </row>
    <row r="3" spans="1:11" s="20" customFormat="1">
      <c r="D3" s="21"/>
      <c r="E3" s="21"/>
    </row>
    <row r="4" spans="1:11" s="20" customFormat="1"/>
    <row r="5" spans="1:11">
      <c r="A5" s="47" t="str">
        <f>IF(OR('CALCOLO ROTTA 1'!A52='CALCOLO ROTTA 1'!B23,'CALCOLO ROTTA 1'!A52='CALCOLO ROTTA 1'!B24,'CALCOLO ROTTA 1'!A52='CALCOLO ROTTA 1'!B37,'CALCOLO ROTTA 1'!A52='CALCOLO ROTTA 1'!B38),"INSERISCI LA LUNGHEZZA FOCALE EQUIVALENTE A 35 mm","")</f>
        <v/>
      </c>
      <c r="B5" s="52">
        <v>36</v>
      </c>
      <c r="C5" s="48" t="s">
        <v>60</v>
      </c>
    </row>
    <row r="6" spans="1:11">
      <c r="A6" s="47" t="str">
        <f>IF(OR('CALCOLO ROTTA 1'!A52='CALCOLO ROTTA 1'!B39,'CALCOLO ROTTA 1'!A52='CALCOLO ROTTA 1'!B40,'CALCOLO ROTTA 1'!A52='CALCOLO ROTTA 1'!B44,'CALCOLO ROTTA 1'!A52='CALCOLO ROTTA 1'!B45,'CALCOLO ROTTA 1'!A52='CALCOLO ROTTA 1'!B46,'CALCOLO ROTTA 1'!A52='CALCOLO ROTTA 1'!B47,'CALCOLO ROTTA 1'!A52='CALCOLO ROTTA 1'!B48),"INSERISCI LA LUNGHEZZA FOCALE REALE","")</f>
        <v/>
      </c>
      <c r="B6" s="52">
        <v>16</v>
      </c>
      <c r="C6" s="48" t="s">
        <v>60</v>
      </c>
    </row>
    <row r="8" spans="1:11" ht="15.75">
      <c r="A8" s="26" t="s">
        <v>70</v>
      </c>
      <c r="B8" s="21"/>
    </row>
    <row r="9" spans="1:11">
      <c r="A9" s="19"/>
      <c r="B9" s="21"/>
    </row>
    <row r="10" spans="1:11">
      <c r="A10" s="19"/>
      <c r="B10" s="21"/>
    </row>
    <row r="11" spans="1:11">
      <c r="A11" s="19"/>
      <c r="B11" s="21"/>
    </row>
    <row r="12" spans="1:11">
      <c r="A12" t="s">
        <v>71</v>
      </c>
      <c r="B12" s="3">
        <v>3</v>
      </c>
      <c r="C12" t="s">
        <v>72</v>
      </c>
      <c r="D12" t="s">
        <v>73</v>
      </c>
    </row>
    <row r="13" spans="1:11">
      <c r="A13" t="s">
        <v>74</v>
      </c>
      <c r="B13" s="5">
        <f>FLOOR(B12*'CALCOLO ROTTA 1'!B58/(('CALCOLO ROTTA 1'!K52+'CALCOLO ROTTA 1'!L52)/2)/100,1)</f>
        <v>109</v>
      </c>
      <c r="C13" t="s">
        <v>47</v>
      </c>
      <c r="D13" t="s">
        <v>75</v>
      </c>
    </row>
    <row r="14" spans="1:11">
      <c r="A14" t="s">
        <v>59</v>
      </c>
      <c r="B14" s="6">
        <v>60</v>
      </c>
      <c r="C14" t="s">
        <v>47</v>
      </c>
      <c r="D14" t="s">
        <v>76</v>
      </c>
    </row>
    <row r="15" spans="1:11">
      <c r="A15" t="s">
        <v>77</v>
      </c>
      <c r="B15" s="7">
        <f>'CALCOLO ROTTA 1'!B57</f>
        <v>1.6447362602795019</v>
      </c>
      <c r="C15" t="s">
        <v>72</v>
      </c>
      <c r="D15" t="s">
        <v>78</v>
      </c>
      <c r="K15" s="21"/>
    </row>
    <row r="16" spans="1:11">
      <c r="A16" t="s">
        <v>79</v>
      </c>
      <c r="B16" s="30">
        <f>'CALCOLO ROTTA 1'!B59*'CALCOLO ROTTA 1'!B55/100</f>
        <v>89.999968162494355</v>
      </c>
      <c r="C16" t="s">
        <v>47</v>
      </c>
      <c r="D16" t="s">
        <v>80</v>
      </c>
      <c r="K16" s="21"/>
    </row>
    <row r="17" spans="1:16">
      <c r="A17" t="s">
        <v>81</v>
      </c>
      <c r="B17" s="30">
        <f>'CALCOLO ROTTA 1'!B60*'CALCOLO ROTTA 1'!B56/100</f>
        <v>59.999978774996237</v>
      </c>
      <c r="C17" t="s">
        <v>47</v>
      </c>
      <c r="D17" t="s">
        <v>82</v>
      </c>
      <c r="J17" s="22"/>
    </row>
    <row r="18" spans="1:16">
      <c r="B18" s="100" t="str">
        <f>IF(B14&lt;=B13,"VERIFICATO","NON VERIFICATO: DIMINUISCI L'ALTEZZA DI VOLO")</f>
        <v>VERIFICATO</v>
      </c>
      <c r="C18" s="100"/>
      <c r="D18" s="100"/>
      <c r="E18" s="100"/>
      <c r="F18" s="100"/>
      <c r="J18" s="22"/>
    </row>
    <row r="19" spans="1:16">
      <c r="B19" s="4"/>
      <c r="J19" s="22"/>
    </row>
    <row r="20" spans="1:16">
      <c r="B20" s="4"/>
      <c r="J20" s="22"/>
    </row>
    <row r="21" spans="1:16">
      <c r="B21" s="4"/>
      <c r="J21" s="22"/>
    </row>
    <row r="22" spans="1:16">
      <c r="B22" s="4"/>
      <c r="J22" s="22"/>
    </row>
    <row r="23" spans="1:16">
      <c r="B23" s="4"/>
      <c r="J23" s="22"/>
    </row>
    <row r="24" spans="1:16">
      <c r="B24" s="4"/>
      <c r="J24" s="22"/>
    </row>
    <row r="25" spans="1:16">
      <c r="B25" s="10"/>
      <c r="J25" s="22"/>
      <c r="N25" s="23"/>
    </row>
    <row r="26" spans="1:16">
      <c r="B26" s="10"/>
    </row>
    <row r="27" spans="1:16" ht="15.75">
      <c r="A27" s="26" t="s">
        <v>83</v>
      </c>
      <c r="B27" s="21"/>
    </row>
    <row r="28" spans="1:16">
      <c r="A28" s="19"/>
      <c r="B28" s="21"/>
    </row>
    <row r="29" spans="1:16">
      <c r="A29" s="19"/>
      <c r="B29" s="21"/>
    </row>
    <row r="30" spans="1:16">
      <c r="A30" s="19"/>
      <c r="B30" s="21"/>
    </row>
    <row r="31" spans="1:16">
      <c r="A31" s="19"/>
      <c r="B31" s="21"/>
      <c r="P31" s="49"/>
    </row>
    <row r="32" spans="1:16">
      <c r="A32" t="s">
        <v>84</v>
      </c>
      <c r="B32" s="9">
        <v>0.8</v>
      </c>
      <c r="P32" s="49"/>
    </row>
    <row r="33" spans="1:16">
      <c r="A33" t="s">
        <v>85</v>
      </c>
      <c r="B33" s="3">
        <v>2</v>
      </c>
      <c r="C33" t="s">
        <v>86</v>
      </c>
      <c r="P33" s="49"/>
    </row>
    <row r="34" spans="1:16">
      <c r="A34" t="s">
        <v>87</v>
      </c>
      <c r="B34" s="10">
        <f>B17*(1-B32)</f>
        <v>11.999995754999244</v>
      </c>
      <c r="C34" t="s">
        <v>47</v>
      </c>
      <c r="P34" s="49"/>
    </row>
    <row r="35" spans="1:16">
      <c r="A35" t="s">
        <v>88</v>
      </c>
      <c r="B35" s="11">
        <f>FLOOR(B34/B33,0.1)</f>
        <v>5.9</v>
      </c>
      <c r="C35" t="s">
        <v>89</v>
      </c>
      <c r="P35" s="49"/>
    </row>
    <row r="36" spans="1:16">
      <c r="A36" t="s">
        <v>90</v>
      </c>
      <c r="B36" s="12">
        <v>5</v>
      </c>
      <c r="C36" t="s">
        <v>91</v>
      </c>
      <c r="D36" s="29">
        <f>B36*3.6</f>
        <v>18</v>
      </c>
    </row>
    <row r="37" spans="1:16">
      <c r="A37" t="s">
        <v>92</v>
      </c>
      <c r="B37" s="10">
        <f>B36*B33</f>
        <v>10</v>
      </c>
      <c r="C37" t="s">
        <v>47</v>
      </c>
      <c r="E37" s="8"/>
    </row>
    <row r="38" spans="1:16">
      <c r="A38" t="s">
        <v>93</v>
      </c>
      <c r="B38" s="13">
        <f>1-B37/B17</f>
        <v>0.83333327437496862</v>
      </c>
    </row>
    <row r="39" spans="1:16">
      <c r="A39" t="s">
        <v>176</v>
      </c>
      <c r="B39" s="18">
        <v>-90</v>
      </c>
      <c r="C39" t="s">
        <v>57</v>
      </c>
      <c r="D39" t="s">
        <v>177</v>
      </c>
    </row>
    <row r="40" spans="1:16">
      <c r="B40" s="100" t="str">
        <f>IF(B36&lt;=B35,"VERIFICATO","NON VERIFICATO: DIMINUISCI LA VELOCITA'")</f>
        <v>VERIFICATO</v>
      </c>
      <c r="C40" s="100"/>
      <c r="D40" s="100"/>
      <c r="E40" s="100"/>
      <c r="F40" s="100"/>
    </row>
    <row r="41" spans="1:16">
      <c r="B41" s="16"/>
      <c r="D41" s="8"/>
      <c r="E41" s="8"/>
    </row>
    <row r="42" spans="1:16">
      <c r="B42" s="16"/>
      <c r="D42" s="8"/>
      <c r="E42" s="8"/>
    </row>
    <row r="43" spans="1:16">
      <c r="B43" s="16"/>
      <c r="D43" s="8"/>
      <c r="E43" s="8"/>
    </row>
    <row r="44" spans="1:16">
      <c r="B44" s="16"/>
      <c r="D44" s="8"/>
      <c r="E44" s="8"/>
    </row>
    <row r="45" spans="1:16">
      <c r="B45" s="16"/>
      <c r="D45" s="8"/>
      <c r="E45" s="8"/>
    </row>
    <row r="46" spans="1:16">
      <c r="B46" s="10"/>
    </row>
    <row r="47" spans="1:16">
      <c r="B47" s="10"/>
    </row>
    <row r="48" spans="1:16">
      <c r="B48" s="21"/>
    </row>
    <row r="49" spans="1:7" ht="15.75">
      <c r="A49" s="26" t="s">
        <v>94</v>
      </c>
      <c r="B49" s="21"/>
    </row>
    <row r="50" spans="1:7">
      <c r="A50" s="19"/>
      <c r="B50" s="21"/>
    </row>
    <row r="51" spans="1:7">
      <c r="A51" s="19"/>
      <c r="B51" s="21"/>
    </row>
    <row r="52" spans="1:7">
      <c r="A52" s="19"/>
      <c r="B52" s="21"/>
    </row>
    <row r="53" spans="1:7">
      <c r="A53" s="24"/>
      <c r="B53" s="24"/>
      <c r="C53" s="24"/>
      <c r="D53" s="24"/>
      <c r="E53" s="24"/>
      <c r="F53" s="24"/>
    </row>
    <row r="54" spans="1:7">
      <c r="A54" t="s">
        <v>95</v>
      </c>
      <c r="B54" s="9">
        <v>0.8</v>
      </c>
    </row>
    <row r="55" spans="1:7">
      <c r="A55" t="s">
        <v>96</v>
      </c>
      <c r="B55" s="11">
        <f>FLOOR(B16*(1-B54),0.1)</f>
        <v>17.900000000000002</v>
      </c>
      <c r="C55" t="s">
        <v>47</v>
      </c>
    </row>
    <row r="56" spans="1:7">
      <c r="A56" t="s">
        <v>97</v>
      </c>
      <c r="B56" s="12">
        <v>17</v>
      </c>
      <c r="C56" t="s">
        <v>47</v>
      </c>
      <c r="E56" s="8"/>
    </row>
    <row r="57" spans="1:7">
      <c r="A57" t="s">
        <v>98</v>
      </c>
      <c r="B57" s="13">
        <f>1-B56/B16</f>
        <v>0.81111104429163117</v>
      </c>
    </row>
    <row r="58" spans="1:7">
      <c r="B58" s="100" t="str">
        <f>IF(B55&gt;=B56,"VERIFICATO","NON VERIFICATO: DIMINUISCI LA DISTANZA TRA LE STRISCIATE")</f>
        <v>VERIFICATO</v>
      </c>
      <c r="C58" s="100"/>
      <c r="D58" s="100"/>
      <c r="E58" s="100"/>
      <c r="F58" s="100"/>
      <c r="G58" s="100"/>
    </row>
    <row r="59" spans="1:7">
      <c r="B59" s="46"/>
      <c r="C59" s="46"/>
      <c r="D59" s="46"/>
      <c r="E59" s="46"/>
      <c r="F59" s="46"/>
      <c r="G59" s="46"/>
    </row>
    <row r="60" spans="1:7">
      <c r="B60" s="46"/>
      <c r="C60" s="46"/>
      <c r="D60" s="46"/>
      <c r="E60" s="46"/>
      <c r="F60" s="46"/>
      <c r="G60" s="46"/>
    </row>
    <row r="61" spans="1:7" ht="15.75">
      <c r="A61" s="26" t="s">
        <v>279</v>
      </c>
      <c r="B61" s="46"/>
      <c r="C61" s="46"/>
      <c r="D61" s="46"/>
      <c r="E61" s="46"/>
      <c r="F61" s="46"/>
      <c r="G61" s="46"/>
    </row>
    <row r="62" spans="1:7">
      <c r="B62" s="46"/>
      <c r="C62" s="46"/>
      <c r="D62" s="46"/>
      <c r="E62" s="46"/>
      <c r="F62" s="46"/>
      <c r="G62" s="46"/>
    </row>
    <row r="63" spans="1:7">
      <c r="B63" s="46"/>
      <c r="C63" s="46"/>
      <c r="D63" s="46"/>
      <c r="E63" s="46"/>
      <c r="F63" s="46"/>
      <c r="G63" s="46"/>
    </row>
    <row r="64" spans="1:7">
      <c r="B64" s="46"/>
      <c r="C64" s="46"/>
      <c r="D64" s="46"/>
      <c r="E64" s="46"/>
      <c r="F64" s="46"/>
      <c r="G64" s="46"/>
    </row>
    <row r="65" spans="1:28">
      <c r="B65" s="46"/>
      <c r="C65" s="46"/>
      <c r="D65" s="46"/>
      <c r="E65" s="46"/>
      <c r="F65" s="46"/>
      <c r="G65" s="46"/>
    </row>
    <row r="66" spans="1:28">
      <c r="B66" s="46"/>
      <c r="C66" s="46"/>
      <c r="D66" s="46"/>
      <c r="E66" s="46"/>
      <c r="F66" s="46"/>
      <c r="G66" s="46"/>
    </row>
    <row r="67" spans="1:28">
      <c r="A67" t="s">
        <v>266</v>
      </c>
      <c r="B67" s="3">
        <v>10</v>
      </c>
      <c r="C67" t="s">
        <v>284</v>
      </c>
      <c r="D67" s="50"/>
      <c r="O67"/>
      <c r="P67"/>
      <c r="Q67"/>
      <c r="R67"/>
      <c r="S67"/>
      <c r="T67"/>
      <c r="U67"/>
      <c r="V67"/>
      <c r="W67"/>
      <c r="X67"/>
      <c r="Y67"/>
      <c r="Z67"/>
      <c r="AA67"/>
      <c r="AB67"/>
    </row>
    <row r="68" spans="1:28">
      <c r="A68" t="s">
        <v>271</v>
      </c>
      <c r="B68" s="51">
        <f>(ROTTE!P27/B36+ROTTE!P29*B67)/60</f>
        <v>44.79872082950385</v>
      </c>
      <c r="C68" t="s">
        <v>267</v>
      </c>
      <c r="O68"/>
      <c r="P68"/>
      <c r="Q68"/>
      <c r="R68"/>
      <c r="S68"/>
      <c r="T68"/>
      <c r="U68"/>
      <c r="V68"/>
      <c r="W68"/>
      <c r="X68"/>
      <c r="Y68"/>
      <c r="Z68"/>
      <c r="AA68"/>
      <c r="AB68"/>
    </row>
    <row r="69" spans="1:28">
      <c r="A69" t="s">
        <v>270</v>
      </c>
      <c r="B69" s="51">
        <f>ROTTE!P30*60/B33+1+IF('CALCOLO ROTTA 1'!B67=1,ROTTE!P29,0)</f>
        <v>1412.755459247205</v>
      </c>
      <c r="C69" t="s">
        <v>268</v>
      </c>
      <c r="O69"/>
      <c r="P69"/>
      <c r="Q69"/>
      <c r="R69"/>
      <c r="S69"/>
      <c r="T69"/>
      <c r="U69"/>
      <c r="V69"/>
      <c r="W69"/>
      <c r="X69"/>
      <c r="Y69"/>
      <c r="Z69"/>
      <c r="AA69"/>
      <c r="AB69"/>
    </row>
    <row r="70" spans="1:28">
      <c r="O70"/>
      <c r="P70"/>
      <c r="Q70"/>
      <c r="R70"/>
      <c r="S70"/>
      <c r="T70"/>
      <c r="U70"/>
      <c r="V70"/>
      <c r="W70"/>
      <c r="X70"/>
      <c r="Y70"/>
      <c r="Z70"/>
      <c r="AA70"/>
      <c r="AB70"/>
    </row>
    <row r="71" spans="1:28">
      <c r="O71"/>
      <c r="P71"/>
      <c r="Q71"/>
      <c r="R71"/>
      <c r="S71"/>
      <c r="T71"/>
      <c r="U71"/>
      <c r="V71"/>
      <c r="W71"/>
      <c r="X71"/>
      <c r="Y71"/>
      <c r="Z71"/>
      <c r="AA71"/>
      <c r="AB71"/>
    </row>
    <row r="72" spans="1:28" ht="15.75">
      <c r="A72" s="26" t="s">
        <v>285</v>
      </c>
      <c r="E72" s="20"/>
      <c r="O72"/>
      <c r="P72"/>
      <c r="Q72"/>
      <c r="R72"/>
      <c r="S72"/>
      <c r="T72"/>
      <c r="U72"/>
      <c r="V72"/>
      <c r="W72"/>
      <c r="X72"/>
      <c r="Y72"/>
      <c r="Z72"/>
      <c r="AA72"/>
      <c r="AB72"/>
    </row>
    <row r="73" spans="1:28" ht="15.75">
      <c r="A73" s="26"/>
      <c r="E73" s="20"/>
      <c r="O73"/>
      <c r="P73"/>
      <c r="Q73"/>
      <c r="R73"/>
      <c r="S73"/>
      <c r="T73"/>
      <c r="U73"/>
      <c r="V73"/>
      <c r="W73"/>
      <c r="X73"/>
      <c r="Y73"/>
      <c r="Z73"/>
      <c r="AA73"/>
      <c r="AB73"/>
    </row>
    <row r="74" spans="1:28" ht="15.75">
      <c r="A74" s="26"/>
      <c r="E74" s="20"/>
      <c r="O74"/>
      <c r="P74"/>
      <c r="Q74"/>
      <c r="R74"/>
      <c r="S74"/>
      <c r="T74"/>
      <c r="U74"/>
      <c r="V74"/>
      <c r="W74"/>
      <c r="X74"/>
      <c r="Y74"/>
      <c r="Z74"/>
      <c r="AA74"/>
      <c r="AB74"/>
    </row>
    <row r="75" spans="1:28" ht="15.75">
      <c r="A75" s="26"/>
      <c r="E75" s="20"/>
      <c r="O75"/>
      <c r="P75"/>
      <c r="Q75"/>
      <c r="R75"/>
      <c r="S75"/>
      <c r="T75"/>
      <c r="U75"/>
      <c r="V75"/>
      <c r="W75"/>
      <c r="X75"/>
      <c r="Y75"/>
      <c r="Z75"/>
      <c r="AA75"/>
      <c r="AB75"/>
    </row>
    <row r="76" spans="1:28" ht="15.75">
      <c r="A76" s="26"/>
      <c r="E76" s="20"/>
      <c r="O76"/>
      <c r="P76"/>
      <c r="Q76"/>
      <c r="R76"/>
      <c r="S76"/>
      <c r="T76"/>
      <c r="U76"/>
      <c r="V76"/>
      <c r="W76"/>
      <c r="X76"/>
      <c r="Y76"/>
      <c r="Z76"/>
      <c r="AA76"/>
      <c r="AB76"/>
    </row>
    <row r="77" spans="1:28" ht="15.75">
      <c r="A77" s="26"/>
      <c r="E77" s="20"/>
      <c r="O77"/>
      <c r="P77"/>
      <c r="Q77"/>
      <c r="R77"/>
      <c r="S77"/>
      <c r="T77"/>
      <c r="U77"/>
      <c r="V77"/>
      <c r="W77"/>
      <c r="X77"/>
      <c r="Y77"/>
      <c r="Z77"/>
      <c r="AA77"/>
      <c r="AB77"/>
    </row>
    <row r="78" spans="1:28">
      <c r="A78" s="19"/>
      <c r="E78" s="20"/>
      <c r="O78"/>
      <c r="P78"/>
      <c r="Q78"/>
      <c r="R78"/>
      <c r="S78"/>
      <c r="T78"/>
      <c r="U78"/>
      <c r="V78"/>
      <c r="W78"/>
      <c r="X78"/>
      <c r="Y78"/>
      <c r="Z78"/>
      <c r="AA78"/>
      <c r="AB78"/>
    </row>
    <row r="79" spans="1:28">
      <c r="A79" t="s">
        <v>280</v>
      </c>
      <c r="B79" s="39">
        <f>'CALCOLO ROTTA 1'!K52*1000</f>
        <v>2.4122807017543857</v>
      </c>
      <c r="C79" s="40" t="s">
        <v>262</v>
      </c>
      <c r="E79" s="20"/>
      <c r="O79"/>
      <c r="P79"/>
      <c r="Q79"/>
      <c r="R79"/>
      <c r="S79"/>
      <c r="T79"/>
      <c r="U79"/>
      <c r="V79"/>
      <c r="W79"/>
      <c r="X79"/>
      <c r="Y79"/>
      <c r="Z79"/>
      <c r="AA79"/>
      <c r="AB79"/>
    </row>
    <row r="80" spans="1:28">
      <c r="A80" t="s">
        <v>281</v>
      </c>
      <c r="B80" s="38">
        <f>1/320</f>
        <v>3.1250000000000002E-3</v>
      </c>
      <c r="C80" t="s">
        <v>260</v>
      </c>
      <c r="E80" s="20"/>
      <c r="O80"/>
      <c r="P80"/>
      <c r="Q80"/>
      <c r="R80"/>
      <c r="S80"/>
      <c r="T80"/>
      <c r="U80"/>
      <c r="V80"/>
      <c r="W80"/>
      <c r="X80"/>
      <c r="Y80"/>
      <c r="Z80"/>
      <c r="AA80"/>
      <c r="AB80"/>
    </row>
    <row r="81" spans="1:28">
      <c r="A81" t="s">
        <v>282</v>
      </c>
      <c r="B81" s="41">
        <f>'CALCOLO ROTTA 1'!G52*B36*1000*B80/(B14*1000)*1000</f>
        <v>2.2916674773441801</v>
      </c>
      <c r="C81" s="40" t="s">
        <v>262</v>
      </c>
      <c r="D81" s="44">
        <f>CEILING(B81/B79,1)</f>
        <v>1</v>
      </c>
      <c r="E81" s="20" t="s">
        <v>261</v>
      </c>
      <c r="F81" s="42">
        <f>D81*B15</f>
        <v>1.6447362602795019</v>
      </c>
      <c r="G81" s="45" t="s">
        <v>283</v>
      </c>
      <c r="O81"/>
      <c r="P81"/>
      <c r="Q81"/>
      <c r="R81"/>
      <c r="S81"/>
      <c r="T81"/>
      <c r="U81"/>
      <c r="V81"/>
      <c r="W81"/>
      <c r="X81"/>
      <c r="Y81"/>
      <c r="Z81"/>
      <c r="AA81"/>
      <c r="AB81"/>
    </row>
    <row r="82" spans="1:28">
      <c r="B82" s="43"/>
      <c r="E82" s="20"/>
      <c r="O82"/>
      <c r="P82"/>
      <c r="Q82"/>
      <c r="R82"/>
      <c r="S82"/>
      <c r="T82"/>
      <c r="U82"/>
      <c r="V82"/>
      <c r="W82"/>
      <c r="X82"/>
      <c r="Y82"/>
      <c r="Z82"/>
      <c r="AA82"/>
      <c r="AB82"/>
    </row>
    <row r="83" spans="1:28">
      <c r="B83" s="43"/>
      <c r="E83" s="20"/>
      <c r="O83"/>
      <c r="P83"/>
      <c r="Q83"/>
      <c r="R83"/>
      <c r="S83"/>
      <c r="T83"/>
      <c r="U83"/>
      <c r="V83"/>
      <c r="W83"/>
      <c r="X83"/>
      <c r="Y83"/>
      <c r="Z83"/>
      <c r="AA83"/>
      <c r="AB83"/>
    </row>
    <row r="84" spans="1:28">
      <c r="B84" s="10"/>
      <c r="E84" s="20"/>
      <c r="O84"/>
      <c r="P84"/>
      <c r="Q84"/>
      <c r="R84"/>
      <c r="S84"/>
      <c r="T84"/>
      <c r="U84"/>
      <c r="V84"/>
      <c r="W84"/>
      <c r="X84"/>
      <c r="Y84"/>
      <c r="Z84"/>
      <c r="AA84"/>
      <c r="AB84"/>
    </row>
    <row r="85" spans="1:28">
      <c r="B85" s="10"/>
      <c r="E85" s="20"/>
      <c r="O85"/>
      <c r="P85"/>
      <c r="Q85"/>
      <c r="R85"/>
      <c r="S85"/>
      <c r="T85"/>
      <c r="U85"/>
      <c r="V85"/>
      <c r="W85"/>
      <c r="X85"/>
      <c r="Y85"/>
      <c r="Z85"/>
      <c r="AA85"/>
      <c r="AB85"/>
    </row>
    <row r="86" spans="1:28">
      <c r="B86" s="10"/>
      <c r="E86" s="20"/>
      <c r="O86"/>
      <c r="P86"/>
      <c r="Q86"/>
      <c r="R86"/>
      <c r="S86"/>
      <c r="T86"/>
      <c r="U86"/>
      <c r="V86"/>
      <c r="W86"/>
      <c r="X86"/>
      <c r="Y86"/>
      <c r="Z86"/>
      <c r="AA86"/>
      <c r="AB86"/>
    </row>
    <row r="87" spans="1:28">
      <c r="B87" s="10"/>
      <c r="E87" s="20"/>
      <c r="O87"/>
      <c r="P87"/>
      <c r="Q87"/>
      <c r="R87"/>
      <c r="S87"/>
      <c r="T87"/>
      <c r="U87"/>
      <c r="V87"/>
      <c r="W87"/>
      <c r="X87"/>
      <c r="Y87"/>
      <c r="Z87"/>
      <c r="AA87"/>
      <c r="AB87"/>
    </row>
    <row r="88" spans="1:28">
      <c r="E88" s="20"/>
      <c r="O88"/>
      <c r="P88"/>
      <c r="Q88"/>
      <c r="R88"/>
      <c r="S88"/>
      <c r="T88"/>
      <c r="U88"/>
      <c r="V88"/>
      <c r="W88"/>
      <c r="X88"/>
      <c r="Y88"/>
      <c r="Z88"/>
      <c r="AA88"/>
      <c r="AB88"/>
    </row>
    <row r="89" spans="1:28">
      <c r="E89" s="20"/>
      <c r="O89"/>
      <c r="P89"/>
      <c r="Q89"/>
      <c r="R89"/>
      <c r="S89"/>
      <c r="T89"/>
      <c r="U89"/>
      <c r="V89"/>
      <c r="W89"/>
      <c r="X89"/>
      <c r="Y89"/>
      <c r="Z89"/>
      <c r="AA89"/>
      <c r="AB89"/>
    </row>
    <row r="90" spans="1:28">
      <c r="E90" s="20"/>
      <c r="O90"/>
      <c r="P90"/>
      <c r="Q90"/>
      <c r="R90"/>
      <c r="S90"/>
      <c r="T90"/>
      <c r="U90"/>
      <c r="V90"/>
      <c r="W90"/>
      <c r="X90"/>
      <c r="Y90"/>
      <c r="Z90"/>
      <c r="AA90"/>
      <c r="AB90"/>
    </row>
    <row r="91" spans="1:28">
      <c r="E91" s="20"/>
      <c r="O91"/>
      <c r="P91"/>
      <c r="Q91"/>
      <c r="R91"/>
      <c r="S91"/>
      <c r="T91"/>
      <c r="U91"/>
      <c r="V91"/>
      <c r="W91"/>
      <c r="X91"/>
      <c r="Y91"/>
      <c r="Z91"/>
      <c r="AA91"/>
      <c r="AB91"/>
    </row>
    <row r="92" spans="1:28">
      <c r="E92" s="20"/>
      <c r="O92"/>
      <c r="P92"/>
      <c r="Q92"/>
      <c r="R92"/>
      <c r="S92"/>
      <c r="T92"/>
      <c r="U92"/>
      <c r="V92"/>
      <c r="W92"/>
      <c r="X92"/>
      <c r="Y92"/>
      <c r="Z92"/>
      <c r="AA92"/>
      <c r="AB92"/>
    </row>
    <row r="93" spans="1:28">
      <c r="E93" s="20"/>
      <c r="O93"/>
      <c r="P93"/>
      <c r="Q93"/>
      <c r="R93"/>
      <c r="S93"/>
      <c r="T93"/>
      <c r="U93"/>
      <c r="V93"/>
      <c r="W93"/>
      <c r="X93"/>
      <c r="Y93"/>
      <c r="Z93"/>
      <c r="AA93"/>
      <c r="AB93"/>
    </row>
    <row r="94" spans="1:28">
      <c r="E94" s="20"/>
      <c r="O94"/>
      <c r="P94"/>
      <c r="Q94"/>
      <c r="R94"/>
      <c r="S94"/>
      <c r="T94"/>
      <c r="U94"/>
      <c r="V94"/>
      <c r="W94"/>
      <c r="X94"/>
      <c r="Y94"/>
      <c r="Z94"/>
      <c r="AA94"/>
      <c r="AB94"/>
    </row>
    <row r="95" spans="1:28">
      <c r="E95" s="20"/>
      <c r="O95"/>
      <c r="P95"/>
      <c r="Q95"/>
      <c r="R95"/>
      <c r="S95"/>
      <c r="T95"/>
      <c r="U95"/>
      <c r="V95"/>
      <c r="W95"/>
      <c r="X95"/>
      <c r="Y95"/>
      <c r="Z95"/>
      <c r="AA95"/>
      <c r="AB95"/>
    </row>
    <row r="96" spans="1:28">
      <c r="E96" s="20"/>
      <c r="O96"/>
      <c r="P96"/>
      <c r="Q96"/>
      <c r="R96"/>
      <c r="S96"/>
      <c r="T96"/>
      <c r="U96"/>
      <c r="V96"/>
      <c r="W96"/>
      <c r="X96"/>
      <c r="Y96"/>
      <c r="Z96"/>
      <c r="AA96"/>
      <c r="AB96"/>
    </row>
    <row r="97" spans="5:28">
      <c r="E97" s="20"/>
      <c r="O97"/>
      <c r="P97"/>
      <c r="Q97"/>
      <c r="R97"/>
      <c r="S97"/>
      <c r="T97"/>
      <c r="U97"/>
      <c r="V97"/>
      <c r="W97"/>
      <c r="X97"/>
      <c r="Y97"/>
      <c r="Z97"/>
      <c r="AA97"/>
      <c r="AB97"/>
    </row>
    <row r="98" spans="5:28">
      <c r="E98" s="20"/>
      <c r="O98"/>
      <c r="P98"/>
      <c r="Q98"/>
      <c r="R98"/>
      <c r="S98"/>
      <c r="T98"/>
      <c r="U98"/>
      <c r="V98"/>
      <c r="W98"/>
      <c r="X98"/>
      <c r="Y98"/>
      <c r="Z98"/>
      <c r="AA98"/>
      <c r="AB98"/>
    </row>
    <row r="99" spans="5:28">
      <c r="E99" s="20"/>
      <c r="O99"/>
      <c r="P99"/>
      <c r="Q99"/>
      <c r="R99"/>
      <c r="S99"/>
      <c r="T99"/>
      <c r="U99"/>
      <c r="V99"/>
      <c r="W99"/>
      <c r="X99"/>
      <c r="Y99"/>
      <c r="Z99"/>
      <c r="AA99"/>
      <c r="AB99"/>
    </row>
    <row r="100" spans="5:28">
      <c r="E100" s="20"/>
      <c r="O100"/>
      <c r="P100"/>
      <c r="Q100"/>
      <c r="R100"/>
      <c r="S100"/>
      <c r="T100"/>
      <c r="U100"/>
      <c r="V100"/>
      <c r="W100"/>
      <c r="X100"/>
      <c r="Y100"/>
      <c r="Z100"/>
      <c r="AA100"/>
      <c r="AB100"/>
    </row>
    <row r="101" spans="5:28">
      <c r="E101" s="20"/>
      <c r="O101"/>
      <c r="P101"/>
      <c r="Q101"/>
      <c r="R101"/>
      <c r="S101"/>
      <c r="T101"/>
      <c r="U101"/>
      <c r="V101"/>
      <c r="W101"/>
      <c r="X101"/>
      <c r="Y101"/>
      <c r="Z101"/>
      <c r="AA101"/>
      <c r="AB101"/>
    </row>
    <row r="102" spans="5:28">
      <c r="E102" s="20"/>
      <c r="O102"/>
      <c r="P102"/>
      <c r="Q102"/>
      <c r="R102"/>
      <c r="S102"/>
      <c r="T102"/>
      <c r="U102"/>
      <c r="V102"/>
      <c r="W102"/>
      <c r="X102"/>
      <c r="Y102"/>
      <c r="Z102"/>
      <c r="AA102"/>
      <c r="AB102"/>
    </row>
    <row r="104" spans="5:28">
      <c r="O104"/>
      <c r="P104"/>
      <c r="Q104"/>
      <c r="R104"/>
      <c r="S104"/>
      <c r="T104"/>
      <c r="U104"/>
      <c r="V104"/>
      <c r="W104"/>
      <c r="X104"/>
      <c r="Y104"/>
      <c r="Z104"/>
      <c r="AA104"/>
      <c r="AB104"/>
    </row>
  </sheetData>
  <sheetProtection algorithmName="SHA-512" hashValue="MIzEmbr4mNR3ude3Ma0R/Rt5GkFoVlO5GAkviy2PPSz/EndoA5qR0b4D/YyO5+BHEHK+ZIjkQFMwS9FBJiTAcg==" saltValue="+5nbChPYOLfQj33ywVG1WA==" spinCount="100000" sheet="1" objects="1" scenarios="1" selectLockedCells="1"/>
  <mergeCells count="3">
    <mergeCell ref="B18:F18"/>
    <mergeCell ref="B40:F40"/>
    <mergeCell ref="B58:G58"/>
  </mergeCells>
  <phoneticPr fontId="34" type="noConversion"/>
  <conditionalFormatting sqref="B6">
    <cfRule type="expression" dxfId="5" priority="6">
      <formula>OR($A$5="INSERISCI LA LUNGHEZZA FOCALE EQUIVALENTE A 35 mm",AND($A$5="",$A$6=""))</formula>
    </cfRule>
    <cfRule type="expression" dxfId="4" priority="8">
      <formula>$A$6="INSERISCI LA LUNGHEZZA FOCALE REALE"</formula>
    </cfRule>
  </conditionalFormatting>
  <conditionalFormatting sqref="B5">
    <cfRule type="expression" dxfId="3" priority="5">
      <formula>OR($A$6="INSERISCI LA LUNGHEZZA FOCALE REALE",AND($A$5="",$A$6=""))</formula>
    </cfRule>
    <cfRule type="expression" dxfId="2" priority="7">
      <formula>$A$5="INSERISCI LA LUNGHEZZA FOCALE EQUIVALENTE A 35 mm"</formula>
    </cfRule>
  </conditionalFormatting>
  <conditionalFormatting sqref="C5">
    <cfRule type="expression" dxfId="1" priority="3">
      <formula>OR($A$6="INSERISCI LA LUNGHEZZA FOCALE REALE",AND($A$5="",$A$6=""))</formula>
    </cfRule>
  </conditionalFormatting>
  <conditionalFormatting sqref="C6">
    <cfRule type="expression" dxfId="0" priority="1">
      <formula>OR($A$5="INSERISCI LA LUNGHEZZA FOCALE EQUIVALENTE A 35 mm",AND($A$5="",$A$6=""))</formula>
    </cfRule>
  </conditionalFormatting>
  <pageMargins left="0.7" right="0.7" top="0.75" bottom="0.75" header="0.3" footer="0.3"/>
  <pageSetup paperSize="9" orientation="portrait" horizontalDpi="4294967293" verticalDpi="4294967294"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Group Box 1">
              <controlPr defaultSize="0" autoFill="0" autoPict="0">
                <anchor moveWithCells="1">
                  <from>
                    <xdr:col>0</xdr:col>
                    <xdr:colOff>0</xdr:colOff>
                    <xdr:row>18</xdr:row>
                    <xdr:rowOff>76200</xdr:rowOff>
                  </from>
                  <to>
                    <xdr:col>0</xdr:col>
                    <xdr:colOff>2524125</xdr:colOff>
                    <xdr:row>24</xdr:row>
                    <xdr:rowOff>9525</xdr:rowOff>
                  </to>
                </anchor>
              </controlPr>
            </control>
          </mc:Choice>
        </mc:AlternateContent>
        <mc:AlternateContent xmlns:mc="http://schemas.openxmlformats.org/markup-compatibility/2006">
          <mc:Choice Requires="x14">
            <control shapeId="4098" r:id="rId5" name="Option Button 2">
              <controlPr defaultSize="0" autoFill="0" autoLine="0" autoPict="0">
                <anchor moveWithCells="1">
                  <from>
                    <xdr:col>0</xdr:col>
                    <xdr:colOff>0</xdr:colOff>
                    <xdr:row>19</xdr:row>
                    <xdr:rowOff>104775</xdr:rowOff>
                  </from>
                  <to>
                    <xdr:col>0</xdr:col>
                    <xdr:colOff>1981200</xdr:colOff>
                    <xdr:row>21</xdr:row>
                    <xdr:rowOff>85725</xdr:rowOff>
                  </to>
                </anchor>
              </controlPr>
            </control>
          </mc:Choice>
        </mc:AlternateContent>
        <mc:AlternateContent xmlns:mc="http://schemas.openxmlformats.org/markup-compatibility/2006">
          <mc:Choice Requires="x14">
            <control shapeId="4099" r:id="rId6" name="Option Button 3">
              <controlPr defaultSize="0" autoFill="0" autoLine="0" autoPict="0">
                <anchor moveWithCells="1">
                  <from>
                    <xdr:col>0</xdr:col>
                    <xdr:colOff>0</xdr:colOff>
                    <xdr:row>21</xdr:row>
                    <xdr:rowOff>104775</xdr:rowOff>
                  </from>
                  <to>
                    <xdr:col>0</xdr:col>
                    <xdr:colOff>1981200</xdr:colOff>
                    <xdr:row>23</xdr:row>
                    <xdr:rowOff>85725</xdr:rowOff>
                  </to>
                </anchor>
              </controlPr>
            </control>
          </mc:Choice>
        </mc:AlternateContent>
        <mc:AlternateContent xmlns:mc="http://schemas.openxmlformats.org/markup-compatibility/2006">
          <mc:Choice Requires="x14">
            <control shapeId="4100" r:id="rId7" name="Group Box 4">
              <controlPr defaultSize="0" autoFill="0" autoPict="0">
                <anchor moveWithCells="1">
                  <from>
                    <xdr:col>0</xdr:col>
                    <xdr:colOff>0</xdr:colOff>
                    <xdr:row>40</xdr:row>
                    <xdr:rowOff>76200</xdr:rowOff>
                  </from>
                  <to>
                    <xdr:col>0</xdr:col>
                    <xdr:colOff>2524125</xdr:colOff>
                    <xdr:row>46</xdr:row>
                    <xdr:rowOff>9525</xdr:rowOff>
                  </to>
                </anchor>
              </controlPr>
            </control>
          </mc:Choice>
        </mc:AlternateContent>
        <mc:AlternateContent xmlns:mc="http://schemas.openxmlformats.org/markup-compatibility/2006">
          <mc:Choice Requires="x14">
            <control shapeId="4101" r:id="rId8" name="Option Button 5">
              <controlPr defaultSize="0" autoFill="0" autoLine="0" autoPict="0">
                <anchor moveWithCells="1">
                  <from>
                    <xdr:col>0</xdr:col>
                    <xdr:colOff>0</xdr:colOff>
                    <xdr:row>43</xdr:row>
                    <xdr:rowOff>104775</xdr:rowOff>
                  </from>
                  <to>
                    <xdr:col>0</xdr:col>
                    <xdr:colOff>2343150</xdr:colOff>
                    <xdr:row>45</xdr:row>
                    <xdr:rowOff>85725</xdr:rowOff>
                  </to>
                </anchor>
              </controlPr>
            </control>
          </mc:Choice>
        </mc:AlternateContent>
        <mc:AlternateContent xmlns:mc="http://schemas.openxmlformats.org/markup-compatibility/2006">
          <mc:Choice Requires="x14">
            <control shapeId="4102" r:id="rId9" name="Option Button 6">
              <controlPr defaultSize="0" autoFill="0" autoLine="0" autoPict="0">
                <anchor moveWithCells="1">
                  <from>
                    <xdr:col>0</xdr:col>
                    <xdr:colOff>0</xdr:colOff>
                    <xdr:row>41</xdr:row>
                    <xdr:rowOff>104775</xdr:rowOff>
                  </from>
                  <to>
                    <xdr:col>0</xdr:col>
                    <xdr:colOff>2343150</xdr:colOff>
                    <xdr:row>43</xdr:row>
                    <xdr:rowOff>85725</xdr:rowOff>
                  </to>
                </anchor>
              </controlPr>
            </control>
          </mc:Choice>
        </mc:AlternateContent>
        <mc:AlternateContent xmlns:mc="http://schemas.openxmlformats.org/markup-compatibility/2006">
          <mc:Choice Requires="x14">
            <control shapeId="4105" r:id="rId10" name="Drop Down 9">
              <controlPr defaultSize="0" autoLine="0" autoPict="0">
                <anchor moveWithCells="1">
                  <from>
                    <xdr:col>0</xdr:col>
                    <xdr:colOff>0</xdr:colOff>
                    <xdr:row>2</xdr:row>
                    <xdr:rowOff>0</xdr:rowOff>
                  </from>
                  <to>
                    <xdr:col>0</xdr:col>
                    <xdr:colOff>2152650</xdr:colOff>
                    <xdr:row>3</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1">
    <pageSetUpPr fitToPage="1"/>
  </sheetPr>
  <dimension ref="A1:AD255"/>
  <sheetViews>
    <sheetView workbookViewId="0">
      <selection activeCell="B50" sqref="B50"/>
    </sheetView>
  </sheetViews>
  <sheetFormatPr defaultColWidth="9.140625" defaultRowHeight="15"/>
  <cols>
    <col min="1" max="1" width="43.140625" style="20" bestFit="1" customWidth="1"/>
    <col min="2" max="2" width="19.140625" style="20" bestFit="1" customWidth="1"/>
    <col min="3" max="3" width="36.5703125" style="20" bestFit="1" customWidth="1"/>
    <col min="4" max="4" width="23.7109375" style="21" bestFit="1" customWidth="1"/>
    <col min="5" max="5" width="17.140625" style="21" customWidth="1"/>
    <col min="6" max="7" width="21.5703125" style="20" customWidth="1"/>
    <col min="8" max="8" width="16.140625" style="20" customWidth="1"/>
    <col min="9" max="10" width="18.85546875" style="20" customWidth="1"/>
    <col min="11" max="12" width="10.28515625" style="20" customWidth="1"/>
    <col min="13" max="13" width="15.140625" style="20" customWidth="1"/>
    <col min="14" max="15" width="18.85546875" style="20" bestFit="1" customWidth="1"/>
    <col min="16" max="16" width="18.85546875" style="20" customWidth="1"/>
    <col min="17" max="18" width="8.5703125" style="20" bestFit="1" customWidth="1"/>
    <col min="19" max="19" width="15.140625" style="20" bestFit="1" customWidth="1"/>
    <col min="20" max="20" width="18.85546875" style="20" bestFit="1" customWidth="1"/>
    <col min="21" max="21" width="18.85546875" style="22" bestFit="1" customWidth="1"/>
    <col min="22" max="24" width="8.5703125" style="20" bestFit="1" customWidth="1"/>
    <col min="25" max="16384" width="9.140625" style="20"/>
  </cols>
  <sheetData>
    <row r="1" spans="1:21">
      <c r="A1" s="20" t="s">
        <v>229</v>
      </c>
      <c r="B1" s="20">
        <v>1</v>
      </c>
      <c r="C1" s="20">
        <v>2</v>
      </c>
      <c r="D1" s="20">
        <v>3</v>
      </c>
      <c r="E1" s="20">
        <v>4</v>
      </c>
      <c r="F1" s="20">
        <v>5</v>
      </c>
      <c r="G1" s="20">
        <v>6</v>
      </c>
      <c r="H1" s="20">
        <v>7</v>
      </c>
      <c r="I1" s="20">
        <v>8</v>
      </c>
      <c r="J1" s="20">
        <v>9</v>
      </c>
      <c r="K1" s="20">
        <v>10</v>
      </c>
      <c r="L1" s="20">
        <v>11</v>
      </c>
      <c r="M1" s="20">
        <v>12</v>
      </c>
      <c r="N1" s="20">
        <v>13</v>
      </c>
      <c r="O1" s="20">
        <v>14</v>
      </c>
    </row>
    <row r="2" spans="1:21" s="25" customFormat="1" ht="60">
      <c r="A2" s="25" t="s">
        <v>193</v>
      </c>
      <c r="C2" s="25" t="s">
        <v>179</v>
      </c>
      <c r="D2" s="25" t="s">
        <v>231</v>
      </c>
      <c r="E2" s="25" t="s">
        <v>232</v>
      </c>
      <c r="F2" s="25" t="s">
        <v>233</v>
      </c>
      <c r="G2" s="25" t="s">
        <v>234</v>
      </c>
      <c r="H2" s="25" t="s">
        <v>235</v>
      </c>
      <c r="I2" s="25" t="s">
        <v>236</v>
      </c>
      <c r="J2" s="25" t="s">
        <v>237</v>
      </c>
      <c r="K2" s="25" t="s">
        <v>238</v>
      </c>
      <c r="L2" s="25" t="s">
        <v>239</v>
      </c>
      <c r="M2" s="25" t="s">
        <v>219</v>
      </c>
      <c r="N2" s="25" t="s">
        <v>252</v>
      </c>
      <c r="O2" s="25" t="s">
        <v>251</v>
      </c>
      <c r="U2" s="62"/>
    </row>
    <row r="3" spans="1:21">
      <c r="A3" s="20" t="s">
        <v>182</v>
      </c>
      <c r="B3" s="20">
        <v>1</v>
      </c>
      <c r="C3" s="49" t="s">
        <v>180</v>
      </c>
      <c r="D3" s="20">
        <v>4000</v>
      </c>
      <c r="E3" s="20">
        <v>3000</v>
      </c>
      <c r="F3" s="20">
        <f>H3</f>
        <v>20.2</v>
      </c>
      <c r="H3" s="21">
        <v>20.2</v>
      </c>
      <c r="I3" s="27">
        <f t="shared" ref="I3:I22" si="0">H3/M3</f>
        <v>3.579164168428993</v>
      </c>
      <c r="J3" s="63">
        <v>6.17</v>
      </c>
      <c r="K3" s="63">
        <v>4.55</v>
      </c>
      <c r="L3" s="4">
        <f t="shared" ref="L3:L47" si="1">SQRT(J3^2+K3^2)</f>
        <v>7.6662507133539535</v>
      </c>
      <c r="M3" s="4">
        <f t="shared" ref="M3:M47" si="2">43.2666/L3</f>
        <v>5.6437757670295436</v>
      </c>
      <c r="N3" s="91">
        <f>J3/D3</f>
        <v>1.5425E-3</v>
      </c>
      <c r="O3" s="91">
        <f>K3/E3</f>
        <v>1.5166666666666666E-3</v>
      </c>
      <c r="P3" s="91"/>
    </row>
    <row r="4" spans="1:21">
      <c r="A4" s="20" t="s">
        <v>183</v>
      </c>
      <c r="B4" s="20">
        <v>2</v>
      </c>
      <c r="C4" s="49" t="s">
        <v>180</v>
      </c>
      <c r="D4" s="20">
        <v>4000</v>
      </c>
      <c r="E4" s="20">
        <v>2250</v>
      </c>
      <c r="F4" s="20">
        <f t="shared" ref="F4:F22" si="3">H4</f>
        <v>20.2</v>
      </c>
      <c r="H4" s="21">
        <v>20.2</v>
      </c>
      <c r="I4" s="27">
        <f t="shared" si="0"/>
        <v>3.579164168428993</v>
      </c>
      <c r="J4" s="63">
        <v>6.17</v>
      </c>
      <c r="K4" s="63">
        <v>4.55</v>
      </c>
      <c r="L4" s="4">
        <f t="shared" si="1"/>
        <v>7.6662507133539535</v>
      </c>
      <c r="M4" s="4">
        <f t="shared" si="2"/>
        <v>5.6437757670295436</v>
      </c>
      <c r="N4" s="28">
        <f>N3</f>
        <v>1.5425E-3</v>
      </c>
      <c r="O4" s="28">
        <f>O3</f>
        <v>1.5166666666666666E-3</v>
      </c>
      <c r="P4" s="91"/>
    </row>
    <row r="5" spans="1:21">
      <c r="A5" s="20" t="s">
        <v>184</v>
      </c>
      <c r="B5" s="92">
        <v>3</v>
      </c>
      <c r="C5" s="49" t="s">
        <v>180</v>
      </c>
      <c r="D5" s="20">
        <v>4000</v>
      </c>
      <c r="E5" s="20">
        <v>3000</v>
      </c>
      <c r="F5" s="20">
        <f t="shared" si="3"/>
        <v>20.2</v>
      </c>
      <c r="H5" s="21">
        <v>20.2</v>
      </c>
      <c r="I5" s="27">
        <f t="shared" si="0"/>
        <v>3.579164168428993</v>
      </c>
      <c r="J5" s="63">
        <v>6.17</v>
      </c>
      <c r="K5" s="63">
        <v>4.55</v>
      </c>
      <c r="L5" s="4">
        <f t="shared" si="1"/>
        <v>7.6662507133539535</v>
      </c>
      <c r="M5" s="4">
        <f t="shared" si="2"/>
        <v>5.6437757670295436</v>
      </c>
      <c r="N5" s="91">
        <f t="shared" ref="N5:N46" si="4">J5/D5</f>
        <v>1.5425E-3</v>
      </c>
      <c r="O5" s="91">
        <f t="shared" ref="O5:O46" si="5">K5/E5</f>
        <v>1.5166666666666666E-3</v>
      </c>
      <c r="P5" s="91"/>
    </row>
    <row r="6" spans="1:21">
      <c r="A6" s="20" t="s">
        <v>185</v>
      </c>
      <c r="B6" s="92">
        <v>4</v>
      </c>
      <c r="C6" s="49" t="s">
        <v>180</v>
      </c>
      <c r="D6" s="20">
        <v>4000</v>
      </c>
      <c r="E6" s="20">
        <v>2250</v>
      </c>
      <c r="F6" s="20">
        <f t="shared" si="3"/>
        <v>20.2</v>
      </c>
      <c r="H6" s="21">
        <v>20.2</v>
      </c>
      <c r="I6" s="27">
        <f t="shared" si="0"/>
        <v>3.579164168428993</v>
      </c>
      <c r="J6" s="63">
        <v>6.17</v>
      </c>
      <c r="K6" s="63">
        <v>4.55</v>
      </c>
      <c r="L6" s="4">
        <f t="shared" si="1"/>
        <v>7.6662507133539535</v>
      </c>
      <c r="M6" s="4">
        <f t="shared" si="2"/>
        <v>5.6437757670295436</v>
      </c>
      <c r="N6" s="28">
        <f>N5</f>
        <v>1.5425E-3</v>
      </c>
      <c r="O6" s="28">
        <f>O5</f>
        <v>1.5166666666666666E-3</v>
      </c>
      <c r="P6" s="91"/>
    </row>
    <row r="7" spans="1:21">
      <c r="A7" s="20" t="s">
        <v>186</v>
      </c>
      <c r="B7" s="92">
        <v>5</v>
      </c>
      <c r="C7" s="49" t="s">
        <v>181</v>
      </c>
      <c r="D7" s="20">
        <v>5472</v>
      </c>
      <c r="E7" s="20">
        <v>3648</v>
      </c>
      <c r="F7" s="20">
        <f t="shared" si="3"/>
        <v>24</v>
      </c>
      <c r="H7" s="21">
        <v>24</v>
      </c>
      <c r="I7" s="27">
        <f t="shared" si="0"/>
        <v>8.8000031130016527</v>
      </c>
      <c r="J7" s="64">
        <v>13.2</v>
      </c>
      <c r="K7" s="64">
        <v>8.8000000000000007</v>
      </c>
      <c r="L7" s="27">
        <f t="shared" si="1"/>
        <v>15.864425612041552</v>
      </c>
      <c r="M7" s="27">
        <f t="shared" si="2"/>
        <v>2.7272717624998291</v>
      </c>
      <c r="N7" s="91">
        <f t="shared" si="4"/>
        <v>2.4122807017543857E-3</v>
      </c>
      <c r="O7" s="91">
        <f t="shared" si="5"/>
        <v>2.4122807017543861E-3</v>
      </c>
      <c r="P7" s="91"/>
    </row>
    <row r="8" spans="1:21">
      <c r="A8" s="20" t="s">
        <v>187</v>
      </c>
      <c r="B8" s="92">
        <v>6</v>
      </c>
      <c r="C8" s="49" t="s">
        <v>181</v>
      </c>
      <c r="D8" s="20">
        <v>4864</v>
      </c>
      <c r="E8" s="20">
        <v>3648</v>
      </c>
      <c r="F8" s="20">
        <f t="shared" si="3"/>
        <v>24</v>
      </c>
      <c r="H8" s="21">
        <v>24</v>
      </c>
      <c r="I8" s="27">
        <f t="shared" si="0"/>
        <v>8.8000031130016527</v>
      </c>
      <c r="J8" s="64">
        <v>13.2</v>
      </c>
      <c r="K8" s="64">
        <v>8.8000000000000007</v>
      </c>
      <c r="L8" s="27">
        <f t="shared" si="1"/>
        <v>15.864425612041552</v>
      </c>
      <c r="M8" s="27">
        <f t="shared" si="2"/>
        <v>2.7272717624998291</v>
      </c>
      <c r="N8" s="28">
        <f>N7</f>
        <v>2.4122807017543857E-3</v>
      </c>
      <c r="O8" s="28">
        <f>O7</f>
        <v>2.4122807017543861E-3</v>
      </c>
      <c r="P8" s="91"/>
    </row>
    <row r="9" spans="1:21">
      <c r="A9" s="20" t="s">
        <v>188</v>
      </c>
      <c r="B9" s="92">
        <v>7</v>
      </c>
      <c r="C9" s="49" t="s">
        <v>181</v>
      </c>
      <c r="D9" s="20">
        <v>5472</v>
      </c>
      <c r="E9" s="20">
        <v>3078</v>
      </c>
      <c r="F9" s="20">
        <f t="shared" si="3"/>
        <v>24</v>
      </c>
      <c r="H9" s="21">
        <v>24</v>
      </c>
      <c r="I9" s="27">
        <f t="shared" si="0"/>
        <v>8.8000031130016527</v>
      </c>
      <c r="J9" s="64">
        <v>13.2</v>
      </c>
      <c r="K9" s="64">
        <v>8.8000000000000007</v>
      </c>
      <c r="L9" s="27">
        <f t="shared" si="1"/>
        <v>15.864425612041552</v>
      </c>
      <c r="M9" s="27">
        <f t="shared" si="2"/>
        <v>2.7272717624998291</v>
      </c>
      <c r="N9" s="28">
        <f>N7</f>
        <v>2.4122807017543857E-3</v>
      </c>
      <c r="O9" s="28">
        <f>O7</f>
        <v>2.4122807017543861E-3</v>
      </c>
      <c r="P9" s="91"/>
    </row>
    <row r="10" spans="1:21">
      <c r="A10" s="20" t="s">
        <v>216</v>
      </c>
      <c r="B10" s="92">
        <v>8</v>
      </c>
      <c r="C10" s="49" t="s">
        <v>180</v>
      </c>
      <c r="D10" s="20">
        <v>3968</v>
      </c>
      <c r="E10" s="20">
        <v>2976</v>
      </c>
      <c r="F10" s="20">
        <f t="shared" si="3"/>
        <v>24.9</v>
      </c>
      <c r="H10" s="21">
        <v>24.9</v>
      </c>
      <c r="I10" s="27">
        <f t="shared" si="0"/>
        <v>4.4119399897961351</v>
      </c>
      <c r="J10" s="63">
        <v>6.17</v>
      </c>
      <c r="K10" s="63">
        <v>4.55</v>
      </c>
      <c r="L10" s="27">
        <f t="shared" si="1"/>
        <v>7.6662507133539535</v>
      </c>
      <c r="M10" s="27">
        <f t="shared" si="2"/>
        <v>5.6437757670295436</v>
      </c>
      <c r="N10" s="91">
        <f t="shared" si="4"/>
        <v>1.5549395161290323E-3</v>
      </c>
      <c r="O10" s="91">
        <f t="shared" si="5"/>
        <v>1.5288978494623654E-3</v>
      </c>
      <c r="P10" s="91"/>
    </row>
    <row r="11" spans="1:21">
      <c r="A11" s="20" t="s">
        <v>286</v>
      </c>
      <c r="B11" s="92">
        <v>9</v>
      </c>
      <c r="C11" s="49" t="s">
        <v>180</v>
      </c>
      <c r="D11" s="20">
        <v>4000</v>
      </c>
      <c r="E11" s="20">
        <v>3000</v>
      </c>
      <c r="F11" s="20">
        <f t="shared" ref="F11:F17" si="6">H11</f>
        <v>24.4</v>
      </c>
      <c r="H11" s="21">
        <v>24.4</v>
      </c>
      <c r="I11" s="27">
        <f t="shared" si="0"/>
        <v>4.3233468173102692</v>
      </c>
      <c r="J11" s="63">
        <v>6.17</v>
      </c>
      <c r="K11" s="63">
        <v>4.55</v>
      </c>
      <c r="L11" s="27">
        <f t="shared" ref="L11:L12" si="7">SQRT(J11^2+K11^2)</f>
        <v>7.6662507133539535</v>
      </c>
      <c r="M11" s="27">
        <f t="shared" ref="M11:M12" si="8">43.2666/L11</f>
        <v>5.6437757670295436</v>
      </c>
      <c r="N11" s="91">
        <f t="shared" si="4"/>
        <v>1.5425E-3</v>
      </c>
      <c r="O11" s="91">
        <f t="shared" si="5"/>
        <v>1.5166666666666666E-3</v>
      </c>
      <c r="P11" s="91"/>
    </row>
    <row r="12" spans="1:21">
      <c r="A12" s="20" t="s">
        <v>287</v>
      </c>
      <c r="B12" s="92">
        <v>10</v>
      </c>
      <c r="C12" s="49" t="s">
        <v>180</v>
      </c>
      <c r="D12" s="20">
        <v>4000</v>
      </c>
      <c r="E12" s="20">
        <v>2250</v>
      </c>
      <c r="F12" s="20">
        <f t="shared" si="6"/>
        <v>24.4</v>
      </c>
      <c r="H12" s="21">
        <v>24.4</v>
      </c>
      <c r="I12" s="27">
        <f t="shared" ref="I12:I15" si="9">H12/M12</f>
        <v>4.3233468173102692</v>
      </c>
      <c r="J12" s="63">
        <v>6.17</v>
      </c>
      <c r="K12" s="63">
        <v>4.55</v>
      </c>
      <c r="L12" s="27">
        <f t="shared" si="7"/>
        <v>7.6662507133539535</v>
      </c>
      <c r="M12" s="27">
        <f t="shared" si="8"/>
        <v>5.6437757670295436</v>
      </c>
      <c r="N12" s="28">
        <f>N11</f>
        <v>1.5425E-3</v>
      </c>
      <c r="O12" s="28">
        <f>O11</f>
        <v>1.5166666666666666E-3</v>
      </c>
      <c r="P12" s="65"/>
    </row>
    <row r="13" spans="1:21">
      <c r="A13" s="20" t="s">
        <v>301</v>
      </c>
      <c r="B13" s="92">
        <v>11</v>
      </c>
      <c r="C13" s="49" t="s">
        <v>180</v>
      </c>
      <c r="D13" s="20">
        <v>4000</v>
      </c>
      <c r="E13" s="20">
        <v>3000</v>
      </c>
      <c r="F13" s="20">
        <f t="shared" si="6"/>
        <v>24.4</v>
      </c>
      <c r="H13" s="21">
        <v>24.4</v>
      </c>
      <c r="I13" s="27">
        <f t="shared" si="9"/>
        <v>4.3233468173102692</v>
      </c>
      <c r="J13" s="63">
        <v>6.17</v>
      </c>
      <c r="K13" s="63">
        <v>4.55</v>
      </c>
      <c r="L13" s="27">
        <f t="shared" ref="L13:L15" si="10">SQRT(J13^2+K13^2)</f>
        <v>7.6662507133539535</v>
      </c>
      <c r="M13" s="27">
        <f t="shared" ref="M13:M15" si="11">43.2666/L13</f>
        <v>5.6437757670295436</v>
      </c>
      <c r="N13" s="91">
        <f t="shared" si="4"/>
        <v>1.5425E-3</v>
      </c>
      <c r="O13" s="91">
        <f t="shared" si="5"/>
        <v>1.5166666666666666E-3</v>
      </c>
      <c r="P13" s="65"/>
    </row>
    <row r="14" spans="1:21">
      <c r="A14" s="20" t="s">
        <v>302</v>
      </c>
      <c r="B14" s="92">
        <v>12</v>
      </c>
      <c r="C14" s="49" t="s">
        <v>180</v>
      </c>
      <c r="D14" s="20">
        <v>4000</v>
      </c>
      <c r="E14" s="20">
        <v>2250</v>
      </c>
      <c r="F14" s="20">
        <f t="shared" si="6"/>
        <v>24.4</v>
      </c>
      <c r="H14" s="21">
        <v>24.4</v>
      </c>
      <c r="I14" s="27">
        <f t="shared" si="9"/>
        <v>4.3233468173102692</v>
      </c>
      <c r="J14" s="63">
        <v>6.17</v>
      </c>
      <c r="K14" s="63">
        <v>4.55</v>
      </c>
      <c r="L14" s="27">
        <f t="shared" si="10"/>
        <v>7.6662507133539535</v>
      </c>
      <c r="M14" s="27">
        <f t="shared" si="11"/>
        <v>5.6437757670295436</v>
      </c>
      <c r="N14" s="28">
        <f>N13</f>
        <v>1.5425E-3</v>
      </c>
      <c r="O14" s="28">
        <f>O13</f>
        <v>1.5166666666666666E-3</v>
      </c>
      <c r="P14" s="65"/>
    </row>
    <row r="15" spans="1:21">
      <c r="A15" s="20" t="s">
        <v>314</v>
      </c>
      <c r="B15" s="92">
        <v>13</v>
      </c>
      <c r="C15" s="49" t="s">
        <v>315</v>
      </c>
      <c r="D15" s="20">
        <v>4000</v>
      </c>
      <c r="E15" s="20">
        <v>3000</v>
      </c>
      <c r="F15" s="20">
        <f t="shared" si="6"/>
        <v>24.8</v>
      </c>
      <c r="H15" s="21">
        <v>24.8</v>
      </c>
      <c r="I15" s="27">
        <f t="shared" si="9"/>
        <v>3.4305445771102883</v>
      </c>
      <c r="J15" s="63">
        <f>N15*D15</f>
        <v>4.7879999999999994</v>
      </c>
      <c r="K15" s="63">
        <f>O15*E15</f>
        <v>3.5909999999999997</v>
      </c>
      <c r="L15" s="27">
        <f t="shared" si="10"/>
        <v>5.9849999999999994</v>
      </c>
      <c r="M15" s="27">
        <f t="shared" si="11"/>
        <v>7.2291729323308269</v>
      </c>
      <c r="N15" s="93">
        <v>1.1969999999999999E-3</v>
      </c>
      <c r="O15" s="93">
        <f>N15</f>
        <v>1.1969999999999999E-3</v>
      </c>
      <c r="P15" s="65"/>
    </row>
    <row r="16" spans="1:21">
      <c r="A16" s="20" t="s">
        <v>303</v>
      </c>
      <c r="B16" s="92">
        <v>14</v>
      </c>
      <c r="C16" s="49" t="s">
        <v>180</v>
      </c>
      <c r="D16" s="20">
        <v>4000</v>
      </c>
      <c r="E16" s="20">
        <v>3000</v>
      </c>
      <c r="F16" s="20">
        <f t="shared" si="6"/>
        <v>24.4</v>
      </c>
      <c r="H16" s="21">
        <v>24.4</v>
      </c>
      <c r="I16" s="27">
        <f t="shared" ref="I16:I17" si="12">H16/M16</f>
        <v>4.3233468173102692</v>
      </c>
      <c r="J16" s="63">
        <v>6.17</v>
      </c>
      <c r="K16" s="63">
        <v>4.55</v>
      </c>
      <c r="L16" s="27">
        <f t="shared" ref="L16:L17" si="13">SQRT(J16^2+K16^2)</f>
        <v>7.6662507133539535</v>
      </c>
      <c r="M16" s="27">
        <f t="shared" ref="M16:M17" si="14">43.2666/L16</f>
        <v>5.6437757670295436</v>
      </c>
      <c r="N16" s="91">
        <f t="shared" si="4"/>
        <v>1.5425E-3</v>
      </c>
      <c r="O16" s="91">
        <f t="shared" si="5"/>
        <v>1.5166666666666666E-3</v>
      </c>
      <c r="P16" s="65"/>
    </row>
    <row r="17" spans="1:21">
      <c r="A17" s="20" t="s">
        <v>304</v>
      </c>
      <c r="B17" s="92">
        <v>15</v>
      </c>
      <c r="C17" s="49" t="s">
        <v>180</v>
      </c>
      <c r="D17" s="20">
        <v>4000</v>
      </c>
      <c r="E17" s="20">
        <v>2250</v>
      </c>
      <c r="F17" s="20">
        <f t="shared" si="6"/>
        <v>24.4</v>
      </c>
      <c r="H17" s="21">
        <v>24.4</v>
      </c>
      <c r="I17" s="27">
        <f t="shared" si="12"/>
        <v>4.3233468173102692</v>
      </c>
      <c r="J17" s="63">
        <v>6.17</v>
      </c>
      <c r="K17" s="63">
        <v>4.55</v>
      </c>
      <c r="L17" s="27">
        <f t="shared" si="13"/>
        <v>7.6662507133539535</v>
      </c>
      <c r="M17" s="27">
        <f t="shared" si="14"/>
        <v>5.6437757670295436</v>
      </c>
      <c r="N17" s="28">
        <f>N16</f>
        <v>1.5425E-3</v>
      </c>
      <c r="O17" s="28">
        <f>O16</f>
        <v>1.5166666666666666E-3</v>
      </c>
      <c r="P17" s="65"/>
    </row>
    <row r="18" spans="1:21">
      <c r="A18" s="20" t="s">
        <v>189</v>
      </c>
      <c r="B18" s="92">
        <v>16</v>
      </c>
      <c r="C18" s="49" t="s">
        <v>180</v>
      </c>
      <c r="D18" s="20">
        <v>4000</v>
      </c>
      <c r="E18" s="20">
        <v>3000</v>
      </c>
      <c r="F18" s="20">
        <f t="shared" si="3"/>
        <v>26.3</v>
      </c>
      <c r="H18" s="21">
        <v>26.3</v>
      </c>
      <c r="I18" s="27">
        <f t="shared" si="0"/>
        <v>4.6600008727565605</v>
      </c>
      <c r="J18" s="63">
        <v>6.17</v>
      </c>
      <c r="K18" s="63">
        <v>4.55</v>
      </c>
      <c r="L18" s="27">
        <f t="shared" si="1"/>
        <v>7.6662507133539535</v>
      </c>
      <c r="M18" s="27">
        <f t="shared" si="2"/>
        <v>5.6437757670295436</v>
      </c>
      <c r="N18" s="91">
        <f t="shared" si="4"/>
        <v>1.5425E-3</v>
      </c>
      <c r="O18" s="91">
        <f t="shared" si="5"/>
        <v>1.5166666666666666E-3</v>
      </c>
      <c r="P18" s="91"/>
    </row>
    <row r="19" spans="1:21">
      <c r="A19" s="20" t="s">
        <v>190</v>
      </c>
      <c r="B19" s="92">
        <v>17</v>
      </c>
      <c r="C19" s="49" t="s">
        <v>180</v>
      </c>
      <c r="D19" s="20">
        <v>4000</v>
      </c>
      <c r="E19" s="20">
        <v>2250</v>
      </c>
      <c r="F19" s="20">
        <f t="shared" si="3"/>
        <v>26.3</v>
      </c>
      <c r="H19" s="21">
        <v>26.3</v>
      </c>
      <c r="I19" s="27">
        <f t="shared" si="0"/>
        <v>4.6600008727565605</v>
      </c>
      <c r="J19" s="63">
        <v>6.17</v>
      </c>
      <c r="K19" s="63">
        <v>4.55</v>
      </c>
      <c r="L19" s="27">
        <f t="shared" si="1"/>
        <v>7.6662507133539535</v>
      </c>
      <c r="M19" s="27">
        <f t="shared" si="2"/>
        <v>5.6437757670295436</v>
      </c>
      <c r="N19" s="28">
        <f>N18</f>
        <v>1.5425E-3</v>
      </c>
      <c r="O19" s="28">
        <f>O18</f>
        <v>1.5166666666666666E-3</v>
      </c>
      <c r="P19" s="65"/>
    </row>
    <row r="20" spans="1:21">
      <c r="A20" s="20" t="s">
        <v>194</v>
      </c>
      <c r="B20" s="92">
        <v>18</v>
      </c>
      <c r="C20" s="49" t="s">
        <v>181</v>
      </c>
      <c r="D20" s="20">
        <v>5472</v>
      </c>
      <c r="E20" s="20">
        <v>3648</v>
      </c>
      <c r="F20" s="20">
        <f t="shared" si="3"/>
        <v>28</v>
      </c>
      <c r="H20" s="21">
        <v>28</v>
      </c>
      <c r="I20" s="27">
        <f t="shared" si="0"/>
        <v>10.266670298501928</v>
      </c>
      <c r="J20" s="64">
        <v>13.2</v>
      </c>
      <c r="K20" s="64">
        <v>8.8000000000000007</v>
      </c>
      <c r="L20" s="27">
        <f t="shared" si="1"/>
        <v>15.864425612041552</v>
      </c>
      <c r="M20" s="27">
        <f t="shared" si="2"/>
        <v>2.7272717624998291</v>
      </c>
      <c r="N20" s="91">
        <f t="shared" si="4"/>
        <v>2.4122807017543857E-3</v>
      </c>
      <c r="O20" s="91">
        <f t="shared" si="5"/>
        <v>2.4122807017543861E-3</v>
      </c>
      <c r="P20" s="91"/>
    </row>
    <row r="21" spans="1:21">
      <c r="A21" s="20" t="s">
        <v>195</v>
      </c>
      <c r="B21" s="92">
        <v>19</v>
      </c>
      <c r="C21" s="49" t="s">
        <v>181</v>
      </c>
      <c r="D21" s="20">
        <v>4864</v>
      </c>
      <c r="E21" s="20">
        <v>3648</v>
      </c>
      <c r="F21" s="20">
        <f t="shared" si="3"/>
        <v>28</v>
      </c>
      <c r="H21" s="21">
        <v>28</v>
      </c>
      <c r="I21" s="27">
        <f t="shared" si="0"/>
        <v>10.266670298501928</v>
      </c>
      <c r="J21" s="64">
        <v>13.2</v>
      </c>
      <c r="K21" s="64">
        <v>8.8000000000000007</v>
      </c>
      <c r="L21" s="27">
        <f t="shared" si="1"/>
        <v>15.864425612041552</v>
      </c>
      <c r="M21" s="27">
        <f t="shared" si="2"/>
        <v>2.7272717624998291</v>
      </c>
      <c r="N21" s="28">
        <f>N20</f>
        <v>2.4122807017543857E-3</v>
      </c>
      <c r="O21" s="28">
        <f>O20</f>
        <v>2.4122807017543861E-3</v>
      </c>
      <c r="P21" s="91"/>
    </row>
    <row r="22" spans="1:21">
      <c r="A22" s="20" t="s">
        <v>240</v>
      </c>
      <c r="B22" s="92">
        <v>20</v>
      </c>
      <c r="C22" s="49" t="s">
        <v>181</v>
      </c>
      <c r="D22" s="20">
        <v>5472</v>
      </c>
      <c r="E22" s="20">
        <v>3078</v>
      </c>
      <c r="F22" s="20">
        <f t="shared" si="3"/>
        <v>28</v>
      </c>
      <c r="H22" s="21">
        <v>28</v>
      </c>
      <c r="I22" s="27">
        <f t="shared" si="0"/>
        <v>10.266670298501928</v>
      </c>
      <c r="J22" s="64">
        <v>13.2</v>
      </c>
      <c r="K22" s="64">
        <v>8.8000000000000007</v>
      </c>
      <c r="L22" s="27">
        <f t="shared" ref="L22" si="15">SQRT(J22^2+K22^2)</f>
        <v>15.864425612041552</v>
      </c>
      <c r="M22" s="27">
        <f t="shared" ref="M22" si="16">43.2666/L22</f>
        <v>2.7272717624998291</v>
      </c>
      <c r="N22" s="28">
        <f>N20</f>
        <v>2.4122807017543857E-3</v>
      </c>
      <c r="O22" s="28">
        <f>O20</f>
        <v>2.4122807017543861E-3</v>
      </c>
      <c r="P22" s="91"/>
    </row>
    <row r="23" spans="1:21">
      <c r="A23" s="20" t="s">
        <v>196</v>
      </c>
      <c r="B23" s="92">
        <v>21</v>
      </c>
      <c r="C23" s="49" t="s">
        <v>180</v>
      </c>
      <c r="D23" s="20">
        <v>4000</v>
      </c>
      <c r="E23" s="20">
        <v>3000</v>
      </c>
      <c r="F23" s="20" t="s">
        <v>198</v>
      </c>
      <c r="H23" s="4">
        <f>'DATI CAMERA E ROTTA'!$B$5</f>
        <v>36</v>
      </c>
      <c r="I23" s="27">
        <f>'DATI CAMERA E ROTTA'!$B$5/'CALCOLO ROTTA 1'!M23</f>
        <v>6.378708418982364</v>
      </c>
      <c r="J23" s="63">
        <v>6.17</v>
      </c>
      <c r="K23" s="63">
        <v>4.55</v>
      </c>
      <c r="L23" s="27">
        <f t="shared" si="1"/>
        <v>7.6662507133539535</v>
      </c>
      <c r="M23" s="27">
        <f t="shared" si="2"/>
        <v>5.6437757670295436</v>
      </c>
      <c r="N23" s="91">
        <f t="shared" si="4"/>
        <v>1.5425E-3</v>
      </c>
      <c r="O23" s="91">
        <f t="shared" si="5"/>
        <v>1.5166666666666666E-3</v>
      </c>
      <c r="P23" s="91"/>
    </row>
    <row r="24" spans="1:21">
      <c r="A24" s="20" t="s">
        <v>197</v>
      </c>
      <c r="B24" s="92">
        <v>22</v>
      </c>
      <c r="C24" s="49" t="s">
        <v>180</v>
      </c>
      <c r="D24" s="20">
        <v>4000</v>
      </c>
      <c r="E24" s="20">
        <v>2250</v>
      </c>
      <c r="F24" s="20" t="s">
        <v>198</v>
      </c>
      <c r="H24" s="4">
        <f>'DATI CAMERA E ROTTA'!$B$5</f>
        <v>36</v>
      </c>
      <c r="I24" s="27">
        <f>'DATI CAMERA E ROTTA'!$B$5/'CALCOLO ROTTA 1'!M24</f>
        <v>6.378708418982364</v>
      </c>
      <c r="J24" s="63">
        <v>6.17</v>
      </c>
      <c r="K24" s="63">
        <v>4.55</v>
      </c>
      <c r="L24" s="27">
        <f t="shared" si="1"/>
        <v>7.6662507133539535</v>
      </c>
      <c r="M24" s="27">
        <f t="shared" si="2"/>
        <v>5.6437757670295436</v>
      </c>
      <c r="N24" s="28">
        <f>N23</f>
        <v>1.5425E-3</v>
      </c>
      <c r="O24" s="28">
        <f>O23</f>
        <v>1.5166666666666666E-3</v>
      </c>
      <c r="P24" s="91"/>
    </row>
    <row r="25" spans="1:21">
      <c r="A25" s="20" t="s">
        <v>316</v>
      </c>
      <c r="B25" s="92">
        <v>23</v>
      </c>
      <c r="C25" s="49" t="s">
        <v>222</v>
      </c>
      <c r="D25" s="20">
        <v>5280</v>
      </c>
      <c r="E25" s="20">
        <v>3956</v>
      </c>
      <c r="F25" s="20">
        <f>H25</f>
        <v>24</v>
      </c>
      <c r="H25" s="4">
        <v>24</v>
      </c>
      <c r="I25" s="27">
        <f>H25/M25</f>
        <v>12.003721619249328</v>
      </c>
      <c r="J25" s="63">
        <v>17.3</v>
      </c>
      <c r="K25" s="63">
        <v>13</v>
      </c>
      <c r="L25" s="27">
        <f t="shared" si="1"/>
        <v>21.640009242142206</v>
      </c>
      <c r="M25" s="27">
        <f t="shared" si="2"/>
        <v>1.9993799224328295</v>
      </c>
      <c r="N25" s="28">
        <f>N24</f>
        <v>1.5425E-3</v>
      </c>
      <c r="O25" s="28">
        <f>O24</f>
        <v>1.5166666666666666E-3</v>
      </c>
      <c r="T25" s="22"/>
      <c r="U25" s="20"/>
    </row>
    <row r="26" spans="1:21">
      <c r="A26" s="20" t="s">
        <v>191</v>
      </c>
      <c r="B26" s="92">
        <v>24</v>
      </c>
      <c r="C26" s="49" t="s">
        <v>180</v>
      </c>
      <c r="D26" s="20">
        <v>4056</v>
      </c>
      <c r="E26" s="20">
        <v>3040</v>
      </c>
      <c r="F26" s="20">
        <f>H26</f>
        <v>23.6</v>
      </c>
      <c r="H26" s="21">
        <v>23.6</v>
      </c>
      <c r="I26" s="27">
        <f>H26/M26</f>
        <v>4.1815977413328831</v>
      </c>
      <c r="J26" s="63">
        <v>6.17</v>
      </c>
      <c r="K26" s="63">
        <v>4.55</v>
      </c>
      <c r="L26" s="27">
        <f t="shared" si="1"/>
        <v>7.6662507133539535</v>
      </c>
      <c r="M26" s="27">
        <f t="shared" si="2"/>
        <v>5.6437757670295436</v>
      </c>
      <c r="N26" s="91">
        <f t="shared" si="4"/>
        <v>1.5212031558185404E-3</v>
      </c>
      <c r="O26" s="91">
        <f t="shared" si="5"/>
        <v>1.4967105263157894E-3</v>
      </c>
      <c r="P26" s="91"/>
    </row>
    <row r="27" spans="1:21">
      <c r="A27" s="20" t="s">
        <v>192</v>
      </c>
      <c r="B27" s="92">
        <v>25</v>
      </c>
      <c r="C27" s="49" t="s">
        <v>180</v>
      </c>
      <c r="D27" s="20">
        <v>4056</v>
      </c>
      <c r="E27" s="20">
        <v>2280</v>
      </c>
      <c r="F27" s="20">
        <f t="shared" ref="F27:F36" si="17">H27</f>
        <v>23.6</v>
      </c>
      <c r="H27" s="21">
        <v>23.6</v>
      </c>
      <c r="I27" s="27">
        <f>H27/M27</f>
        <v>4.1815977413328831</v>
      </c>
      <c r="J27" s="63">
        <v>6.17</v>
      </c>
      <c r="K27" s="63">
        <v>4.55</v>
      </c>
      <c r="L27" s="27">
        <f t="shared" si="1"/>
        <v>7.6662507133539535</v>
      </c>
      <c r="M27" s="27">
        <f t="shared" si="2"/>
        <v>5.6437757670295436</v>
      </c>
      <c r="N27" s="28">
        <f>N26</f>
        <v>1.5212031558185404E-3</v>
      </c>
      <c r="O27" s="28">
        <f>O26</f>
        <v>1.4967105263157894E-3</v>
      </c>
      <c r="P27" s="91"/>
    </row>
    <row r="28" spans="1:21">
      <c r="A28" s="20" t="s">
        <v>307</v>
      </c>
      <c r="B28" s="92">
        <v>26</v>
      </c>
      <c r="C28" s="89" t="s">
        <v>309</v>
      </c>
      <c r="D28" s="20">
        <v>4000</v>
      </c>
      <c r="E28" s="20">
        <v>3000</v>
      </c>
      <c r="F28" s="20">
        <f t="shared" si="17"/>
        <v>24</v>
      </c>
      <c r="H28" s="21">
        <v>24</v>
      </c>
      <c r="I28" s="27">
        <f t="shared" ref="I28:I29" si="18">H28/M28</f>
        <v>4.4376031396042217</v>
      </c>
      <c r="J28" s="63">
        <v>6.4</v>
      </c>
      <c r="K28" s="63">
        <v>4.8</v>
      </c>
      <c r="L28" s="27">
        <f t="shared" ref="L28:L29" si="19">SQRT(J28^2+K28^2)</f>
        <v>8</v>
      </c>
      <c r="M28" s="27">
        <f t="shared" ref="M28:M29" si="20">43.2666/L28</f>
        <v>5.4083249999999996</v>
      </c>
      <c r="N28" s="91">
        <f t="shared" si="4"/>
        <v>1.6000000000000001E-3</v>
      </c>
      <c r="O28" s="91">
        <f t="shared" si="5"/>
        <v>1.5999999999999999E-3</v>
      </c>
      <c r="P28" s="91"/>
    </row>
    <row r="29" spans="1:21">
      <c r="A29" s="20" t="s">
        <v>308</v>
      </c>
      <c r="B29" s="92">
        <v>27</v>
      </c>
      <c r="C29" s="89" t="s">
        <v>309</v>
      </c>
      <c r="D29" s="20">
        <v>8000</v>
      </c>
      <c r="E29" s="20">
        <v>6000</v>
      </c>
      <c r="F29" s="20">
        <f t="shared" si="17"/>
        <v>24</v>
      </c>
      <c r="H29" s="21">
        <v>24</v>
      </c>
      <c r="I29" s="27">
        <f t="shared" si="18"/>
        <v>4.4376031396042217</v>
      </c>
      <c r="J29" s="63">
        <v>6.4</v>
      </c>
      <c r="K29" s="63">
        <v>4.8</v>
      </c>
      <c r="L29" s="27">
        <f t="shared" si="19"/>
        <v>8</v>
      </c>
      <c r="M29" s="27">
        <f t="shared" si="20"/>
        <v>5.4083249999999996</v>
      </c>
      <c r="N29" s="91">
        <f t="shared" si="4"/>
        <v>8.0000000000000004E-4</v>
      </c>
      <c r="O29" s="91">
        <f t="shared" si="5"/>
        <v>7.9999999999999993E-4</v>
      </c>
      <c r="P29" s="91"/>
    </row>
    <row r="30" spans="1:21">
      <c r="A30" s="20" t="s">
        <v>305</v>
      </c>
      <c r="B30" s="92">
        <v>28</v>
      </c>
      <c r="C30" s="49" t="s">
        <v>181</v>
      </c>
      <c r="D30" s="20">
        <v>5472</v>
      </c>
      <c r="E30" s="20">
        <v>3648</v>
      </c>
      <c r="F30" s="20">
        <f t="shared" si="17"/>
        <v>22.4</v>
      </c>
      <c r="H30" s="21">
        <v>22.4</v>
      </c>
      <c r="I30" s="27">
        <f t="shared" ref="I30:I34" si="21">H30/M30</f>
        <v>8.2133362388015421</v>
      </c>
      <c r="J30" s="64">
        <v>13.2</v>
      </c>
      <c r="K30" s="64">
        <v>8.8000000000000007</v>
      </c>
      <c r="L30" s="27">
        <f t="shared" ref="L30:L31" si="22">SQRT(J30^2+K30^2)</f>
        <v>15.864425612041552</v>
      </c>
      <c r="M30" s="27">
        <f t="shared" ref="M30:M31" si="23">43.2666/L30</f>
        <v>2.7272717624998291</v>
      </c>
      <c r="N30" s="91">
        <f t="shared" si="4"/>
        <v>2.4122807017543857E-3</v>
      </c>
      <c r="O30" s="91">
        <f t="shared" si="5"/>
        <v>2.4122807017543861E-3</v>
      </c>
      <c r="P30" s="91"/>
    </row>
    <row r="31" spans="1:21">
      <c r="A31" s="20" t="s">
        <v>306</v>
      </c>
      <c r="B31" s="92">
        <v>29</v>
      </c>
      <c r="C31" s="49" t="s">
        <v>181</v>
      </c>
      <c r="D31" s="20">
        <v>5472</v>
      </c>
      <c r="E31" s="20">
        <v>3078</v>
      </c>
      <c r="F31" s="20">
        <f t="shared" si="17"/>
        <v>22.4</v>
      </c>
      <c r="H31" s="21">
        <v>22.4</v>
      </c>
      <c r="I31" s="27">
        <f t="shared" si="21"/>
        <v>8.2133362388015421</v>
      </c>
      <c r="J31" s="64">
        <v>13.2</v>
      </c>
      <c r="K31" s="64">
        <v>8.8000000000000007</v>
      </c>
      <c r="L31" s="27">
        <f t="shared" si="22"/>
        <v>15.864425612041552</v>
      </c>
      <c r="M31" s="27">
        <f t="shared" si="23"/>
        <v>2.7272717624998291</v>
      </c>
      <c r="N31" s="28">
        <f>N30</f>
        <v>2.4122807017543857E-3</v>
      </c>
      <c r="O31" s="28">
        <f>O30</f>
        <v>2.4122807017543861E-3</v>
      </c>
      <c r="P31" s="91"/>
    </row>
    <row r="32" spans="1:21">
      <c r="A32" s="20" t="s">
        <v>310</v>
      </c>
      <c r="B32" s="92">
        <v>30</v>
      </c>
      <c r="C32" s="49" t="s">
        <v>313</v>
      </c>
      <c r="D32" s="20">
        <v>8192</v>
      </c>
      <c r="E32" s="20">
        <v>5460</v>
      </c>
      <c r="F32" s="20">
        <f t="shared" si="17"/>
        <v>24</v>
      </c>
      <c r="H32" s="21">
        <v>24</v>
      </c>
      <c r="I32" s="27">
        <f t="shared" si="21"/>
        <v>24</v>
      </c>
      <c r="J32" s="64">
        <v>35.9</v>
      </c>
      <c r="K32" s="64">
        <v>24</v>
      </c>
      <c r="L32" s="27">
        <f t="shared" ref="L32:L34" si="24">SQRT(J32^2+K32^2)</f>
        <v>43.183445902336231</v>
      </c>
      <c r="M32" s="90">
        <v>1</v>
      </c>
      <c r="N32" s="91">
        <f t="shared" si="4"/>
        <v>4.3823242187499998E-3</v>
      </c>
      <c r="O32" s="91">
        <f t="shared" si="5"/>
        <v>4.3956043956043956E-3</v>
      </c>
      <c r="P32" s="91"/>
    </row>
    <row r="33" spans="1:16">
      <c r="A33" s="20" t="s">
        <v>311</v>
      </c>
      <c r="B33" s="92">
        <v>31</v>
      </c>
      <c r="C33" s="49" t="s">
        <v>313</v>
      </c>
      <c r="D33" s="20">
        <v>8192</v>
      </c>
      <c r="E33" s="20">
        <v>5460</v>
      </c>
      <c r="F33" s="20">
        <f t="shared" si="17"/>
        <v>35</v>
      </c>
      <c r="H33" s="21">
        <v>35</v>
      </c>
      <c r="I33" s="27">
        <f t="shared" si="21"/>
        <v>35</v>
      </c>
      <c r="J33" s="64">
        <v>35.9</v>
      </c>
      <c r="K33" s="64">
        <v>24</v>
      </c>
      <c r="L33" s="27">
        <f t="shared" si="24"/>
        <v>43.183445902336231</v>
      </c>
      <c r="M33" s="90">
        <v>1</v>
      </c>
      <c r="N33" s="91">
        <f t="shared" si="4"/>
        <v>4.3823242187499998E-3</v>
      </c>
      <c r="O33" s="91">
        <f t="shared" si="5"/>
        <v>4.3956043956043956E-3</v>
      </c>
      <c r="P33" s="91"/>
    </row>
    <row r="34" spans="1:16">
      <c r="A34" s="20" t="s">
        <v>312</v>
      </c>
      <c r="B34" s="92">
        <v>32</v>
      </c>
      <c r="C34" s="49" t="s">
        <v>313</v>
      </c>
      <c r="D34" s="20">
        <v>8192</v>
      </c>
      <c r="E34" s="20">
        <v>5460</v>
      </c>
      <c r="F34" s="20">
        <f t="shared" si="17"/>
        <v>50</v>
      </c>
      <c r="H34" s="21">
        <v>50</v>
      </c>
      <c r="I34" s="27">
        <f t="shared" si="21"/>
        <v>50</v>
      </c>
      <c r="J34" s="64">
        <v>35.9</v>
      </c>
      <c r="K34" s="64">
        <v>24</v>
      </c>
      <c r="L34" s="27">
        <f t="shared" si="24"/>
        <v>43.183445902336231</v>
      </c>
      <c r="M34" s="90">
        <v>1</v>
      </c>
      <c r="N34" s="91">
        <f t="shared" si="4"/>
        <v>4.3823242187499998E-3</v>
      </c>
      <c r="O34" s="91">
        <f t="shared" si="5"/>
        <v>4.3956043956043956E-3</v>
      </c>
      <c r="P34" s="91"/>
    </row>
    <row r="35" spans="1:16">
      <c r="A35" s="20" t="s">
        <v>199</v>
      </c>
      <c r="B35" s="92">
        <v>33</v>
      </c>
      <c r="C35" s="49" t="s">
        <v>180</v>
      </c>
      <c r="D35" s="20">
        <v>4000</v>
      </c>
      <c r="E35" s="20">
        <v>3000</v>
      </c>
      <c r="F35" s="20">
        <f t="shared" si="17"/>
        <v>20.2</v>
      </c>
      <c r="H35" s="21">
        <v>20.2</v>
      </c>
      <c r="I35" s="27">
        <f>H35/M35</f>
        <v>3.579164168428993</v>
      </c>
      <c r="J35" s="63">
        <v>6.17</v>
      </c>
      <c r="K35" s="63">
        <v>4.55</v>
      </c>
      <c r="L35" s="27">
        <f t="shared" si="1"/>
        <v>7.6662507133539535</v>
      </c>
      <c r="M35" s="27">
        <f t="shared" si="2"/>
        <v>5.6437757670295436</v>
      </c>
      <c r="N35" s="91">
        <f t="shared" si="4"/>
        <v>1.5425E-3</v>
      </c>
      <c r="O35" s="91">
        <f t="shared" si="5"/>
        <v>1.5166666666666666E-3</v>
      </c>
      <c r="P35" s="91"/>
    </row>
    <row r="36" spans="1:16">
      <c r="A36" s="20" t="s">
        <v>200</v>
      </c>
      <c r="B36" s="92">
        <v>34</v>
      </c>
      <c r="C36" s="49" t="s">
        <v>180</v>
      </c>
      <c r="D36" s="20">
        <v>4000</v>
      </c>
      <c r="E36" s="20">
        <v>2250</v>
      </c>
      <c r="F36" s="20">
        <f t="shared" si="17"/>
        <v>20.2</v>
      </c>
      <c r="H36" s="21">
        <v>20.2</v>
      </c>
      <c r="I36" s="27">
        <f>H36/M36</f>
        <v>3.579164168428993</v>
      </c>
      <c r="J36" s="63">
        <v>6.17</v>
      </c>
      <c r="K36" s="63">
        <v>4.55</v>
      </c>
      <c r="L36" s="27">
        <f t="shared" si="1"/>
        <v>7.6662507133539535</v>
      </c>
      <c r="M36" s="27">
        <f t="shared" si="2"/>
        <v>5.6437757670295436</v>
      </c>
      <c r="N36" s="28">
        <f>N35</f>
        <v>1.5425E-3</v>
      </c>
      <c r="O36" s="28">
        <f>O35</f>
        <v>1.5166666666666666E-3</v>
      </c>
      <c r="P36" s="91"/>
    </row>
    <row r="37" spans="1:16">
      <c r="A37" s="20" t="s">
        <v>201</v>
      </c>
      <c r="B37" s="92">
        <v>35</v>
      </c>
      <c r="C37" s="49" t="s">
        <v>180</v>
      </c>
      <c r="D37" s="20">
        <v>4000</v>
      </c>
      <c r="E37" s="20">
        <v>3000</v>
      </c>
      <c r="F37" s="20" t="s">
        <v>203</v>
      </c>
      <c r="H37" s="4">
        <f>'DATI CAMERA E ROTTA'!$B$5</f>
        <v>36</v>
      </c>
      <c r="I37" s="27">
        <f>'DATI CAMERA E ROTTA'!$B$5/'CALCOLO ROTTA 1'!M37</f>
        <v>6.378708418982364</v>
      </c>
      <c r="J37" s="63">
        <v>6.17</v>
      </c>
      <c r="K37" s="63">
        <v>4.55</v>
      </c>
      <c r="L37" s="27">
        <f t="shared" si="1"/>
        <v>7.6662507133539535</v>
      </c>
      <c r="M37" s="27">
        <f t="shared" si="2"/>
        <v>5.6437757670295436</v>
      </c>
      <c r="N37" s="91">
        <f t="shared" si="4"/>
        <v>1.5425E-3</v>
      </c>
      <c r="O37" s="91">
        <f t="shared" si="5"/>
        <v>1.5166666666666666E-3</v>
      </c>
      <c r="P37" s="91"/>
    </row>
    <row r="38" spans="1:16">
      <c r="A38" s="20" t="s">
        <v>202</v>
      </c>
      <c r="B38" s="92">
        <v>36</v>
      </c>
      <c r="C38" s="49" t="s">
        <v>180</v>
      </c>
      <c r="D38" s="20">
        <v>4000</v>
      </c>
      <c r="E38" s="20">
        <v>2250</v>
      </c>
      <c r="F38" s="20" t="s">
        <v>203</v>
      </c>
      <c r="H38" s="4">
        <f>'DATI CAMERA E ROTTA'!$B$5</f>
        <v>36</v>
      </c>
      <c r="I38" s="27">
        <f>'DATI CAMERA E ROTTA'!$B$5/'CALCOLO ROTTA 1'!M38</f>
        <v>6.378708418982364</v>
      </c>
      <c r="J38" s="63">
        <v>6.17</v>
      </c>
      <c r="K38" s="63">
        <v>4.55</v>
      </c>
      <c r="L38" s="27">
        <f t="shared" si="1"/>
        <v>7.6662507133539535</v>
      </c>
      <c r="M38" s="27">
        <f t="shared" si="2"/>
        <v>5.6437757670295436</v>
      </c>
      <c r="N38" s="28">
        <f>N37</f>
        <v>1.5425E-3</v>
      </c>
      <c r="O38" s="28">
        <f>O37</f>
        <v>1.5166666666666666E-3</v>
      </c>
      <c r="P38" s="91"/>
    </row>
    <row r="39" spans="1:16">
      <c r="A39" s="20" t="s">
        <v>205</v>
      </c>
      <c r="B39" s="92">
        <v>37</v>
      </c>
      <c r="C39" s="49" t="s">
        <v>222</v>
      </c>
      <c r="D39" s="20">
        <v>4608</v>
      </c>
      <c r="E39" s="20">
        <v>3456</v>
      </c>
      <c r="G39" s="20" t="s">
        <v>204</v>
      </c>
      <c r="H39" s="4">
        <f>'DATI CAMERA E ROTTA'!$B$5</f>
        <v>36</v>
      </c>
      <c r="I39" s="27">
        <f>'DATI CAMERA E ROTTA'!$B$6</f>
        <v>16</v>
      </c>
      <c r="J39" s="64">
        <v>17.3</v>
      </c>
      <c r="K39" s="64">
        <v>13</v>
      </c>
      <c r="L39" s="27">
        <f t="shared" si="1"/>
        <v>21.640009242142206</v>
      </c>
      <c r="M39" s="27">
        <f t="shared" si="2"/>
        <v>1.9993799224328295</v>
      </c>
      <c r="N39" s="91">
        <f t="shared" si="4"/>
        <v>3.7543402777777779E-3</v>
      </c>
      <c r="O39" s="91">
        <f t="shared" si="5"/>
        <v>3.7615740740740739E-3</v>
      </c>
      <c r="P39" s="91"/>
    </row>
    <row r="40" spans="1:16">
      <c r="A40" s="20" t="s">
        <v>206</v>
      </c>
      <c r="B40" s="92">
        <v>38</v>
      </c>
      <c r="C40" s="49" t="s">
        <v>222</v>
      </c>
      <c r="D40" s="20">
        <v>4608</v>
      </c>
      <c r="E40" s="20">
        <v>2592</v>
      </c>
      <c r="G40" s="20" t="s">
        <v>204</v>
      </c>
      <c r="H40" s="4">
        <f>'DATI CAMERA E ROTTA'!$B$5</f>
        <v>36</v>
      </c>
      <c r="I40" s="27">
        <f>'DATI CAMERA E ROTTA'!$B$6</f>
        <v>16</v>
      </c>
      <c r="J40" s="64">
        <v>17.3</v>
      </c>
      <c r="K40" s="64">
        <v>13</v>
      </c>
      <c r="L40" s="27">
        <f t="shared" si="1"/>
        <v>21.640009242142206</v>
      </c>
      <c r="M40" s="27">
        <f t="shared" si="2"/>
        <v>1.9993799224328295</v>
      </c>
      <c r="N40" s="28">
        <f>N39</f>
        <v>3.7543402777777779E-3</v>
      </c>
      <c r="O40" s="28">
        <f>O39</f>
        <v>3.7615740740740739E-3</v>
      </c>
      <c r="P40" s="91"/>
    </row>
    <row r="41" spans="1:16">
      <c r="A41" s="20" t="s">
        <v>207</v>
      </c>
      <c r="B41" s="92">
        <v>39</v>
      </c>
      <c r="C41" s="49" t="s">
        <v>181</v>
      </c>
      <c r="D41" s="20">
        <v>5472</v>
      </c>
      <c r="E41" s="20">
        <v>3648</v>
      </c>
      <c r="F41" s="20">
        <v>24</v>
      </c>
      <c r="H41" s="21">
        <v>24</v>
      </c>
      <c r="I41" s="27">
        <f>H41/M41</f>
        <v>8.8000031130016527</v>
      </c>
      <c r="J41" s="64">
        <v>13.2</v>
      </c>
      <c r="K41" s="64">
        <v>8.8000000000000007</v>
      </c>
      <c r="L41" s="27">
        <f t="shared" si="1"/>
        <v>15.864425612041552</v>
      </c>
      <c r="M41" s="27">
        <f t="shared" si="2"/>
        <v>2.7272717624998291</v>
      </c>
      <c r="N41" s="91">
        <f t="shared" si="4"/>
        <v>2.4122807017543857E-3</v>
      </c>
      <c r="O41" s="91">
        <f t="shared" si="5"/>
        <v>2.4122807017543861E-3</v>
      </c>
      <c r="P41" s="91"/>
    </row>
    <row r="42" spans="1:16">
      <c r="A42" s="20" t="s">
        <v>208</v>
      </c>
      <c r="B42" s="92">
        <v>40</v>
      </c>
      <c r="C42" s="49" t="s">
        <v>181</v>
      </c>
      <c r="D42" s="20">
        <v>4864</v>
      </c>
      <c r="E42" s="20">
        <v>3648</v>
      </c>
      <c r="F42" s="20">
        <v>24</v>
      </c>
      <c r="H42" s="21">
        <v>24</v>
      </c>
      <c r="I42" s="27">
        <f>H42/M42</f>
        <v>8.8000031130016527</v>
      </c>
      <c r="J42" s="64">
        <v>13.2</v>
      </c>
      <c r="K42" s="64">
        <v>8.8000000000000007</v>
      </c>
      <c r="L42" s="27">
        <f t="shared" si="1"/>
        <v>15.864425612041552</v>
      </c>
      <c r="M42" s="27">
        <f t="shared" si="2"/>
        <v>2.7272717624998291</v>
      </c>
      <c r="N42" s="28">
        <f>N41</f>
        <v>2.4122807017543857E-3</v>
      </c>
      <c r="O42" s="28">
        <f>O41</f>
        <v>2.4122807017543861E-3</v>
      </c>
      <c r="P42" s="91"/>
    </row>
    <row r="43" spans="1:16">
      <c r="A43" s="20" t="s">
        <v>209</v>
      </c>
      <c r="B43" s="92">
        <v>41</v>
      </c>
      <c r="C43" s="49" t="s">
        <v>181</v>
      </c>
      <c r="D43" s="20">
        <v>5472</v>
      </c>
      <c r="E43" s="20">
        <v>3078</v>
      </c>
      <c r="F43" s="20">
        <v>24</v>
      </c>
      <c r="H43" s="21">
        <v>24</v>
      </c>
      <c r="I43" s="27">
        <f>H43/M43</f>
        <v>8.8000031130016527</v>
      </c>
      <c r="J43" s="64">
        <v>13.2</v>
      </c>
      <c r="K43" s="64">
        <v>8.8000000000000007</v>
      </c>
      <c r="L43" s="27">
        <f t="shared" si="1"/>
        <v>15.864425612041552</v>
      </c>
      <c r="M43" s="27">
        <f t="shared" si="2"/>
        <v>2.7272717624998291</v>
      </c>
      <c r="N43" s="28">
        <f>N41</f>
        <v>2.4122807017543857E-3</v>
      </c>
      <c r="O43" s="28">
        <f>O41</f>
        <v>2.4122807017543861E-3</v>
      </c>
      <c r="P43" s="91"/>
    </row>
    <row r="44" spans="1:16">
      <c r="A44" s="20" t="s">
        <v>210</v>
      </c>
      <c r="B44" s="92">
        <v>42</v>
      </c>
      <c r="C44" s="49" t="s">
        <v>222</v>
      </c>
      <c r="D44" s="20">
        <v>5280</v>
      </c>
      <c r="E44" s="20">
        <v>3956</v>
      </c>
      <c r="G44" s="20" t="s">
        <v>212</v>
      </c>
      <c r="H44" s="15">
        <f>I44*M44</f>
        <v>31.990078758925272</v>
      </c>
      <c r="I44" s="27">
        <f>'DATI CAMERA E ROTTA'!$B$6</f>
        <v>16</v>
      </c>
      <c r="J44" s="64">
        <v>17.3</v>
      </c>
      <c r="K44" s="64">
        <v>13</v>
      </c>
      <c r="L44" s="27">
        <f t="shared" si="1"/>
        <v>21.640009242142206</v>
      </c>
      <c r="M44" s="27">
        <f t="shared" si="2"/>
        <v>1.9993799224328295</v>
      </c>
      <c r="N44" s="91">
        <f t="shared" si="4"/>
        <v>3.2765151515151518E-3</v>
      </c>
      <c r="O44" s="91">
        <f t="shared" si="5"/>
        <v>3.2861476238624874E-3</v>
      </c>
      <c r="P44" s="91"/>
    </row>
    <row r="45" spans="1:16">
      <c r="A45" s="20" t="s">
        <v>211</v>
      </c>
      <c r="B45" s="92">
        <v>43</v>
      </c>
      <c r="C45" s="49" t="s">
        <v>222</v>
      </c>
      <c r="D45" s="20">
        <v>5280</v>
      </c>
      <c r="E45" s="20">
        <v>2970</v>
      </c>
      <c r="G45" s="20" t="s">
        <v>212</v>
      </c>
      <c r="H45" s="15">
        <f t="shared" ref="H45:H48" si="25">I45*M45</f>
        <v>31.990078758925272</v>
      </c>
      <c r="I45" s="27">
        <f>'DATI CAMERA E ROTTA'!$B$6</f>
        <v>16</v>
      </c>
      <c r="J45" s="64">
        <v>17.3</v>
      </c>
      <c r="K45" s="64">
        <v>13</v>
      </c>
      <c r="L45" s="27">
        <f t="shared" si="1"/>
        <v>21.640009242142206</v>
      </c>
      <c r="M45" s="27">
        <f t="shared" si="2"/>
        <v>1.9993799224328295</v>
      </c>
      <c r="N45" s="28">
        <f>N44</f>
        <v>3.2765151515151518E-3</v>
      </c>
      <c r="O45" s="28">
        <f>O44</f>
        <v>3.2861476238624874E-3</v>
      </c>
      <c r="P45" s="91"/>
    </row>
    <row r="46" spans="1:16">
      <c r="A46" s="20" t="s">
        <v>221</v>
      </c>
      <c r="B46" s="92">
        <v>44</v>
      </c>
      <c r="C46" s="49" t="s">
        <v>214</v>
      </c>
      <c r="D46" s="20">
        <v>6016</v>
      </c>
      <c r="E46" s="20">
        <v>4008</v>
      </c>
      <c r="G46" s="20" t="s">
        <v>215</v>
      </c>
      <c r="H46" s="15">
        <f>I46*M46</f>
        <v>24.494582091727164</v>
      </c>
      <c r="I46" s="27">
        <f>'DATI CAMERA E ROTTA'!$B$6</f>
        <v>16</v>
      </c>
      <c r="J46" s="64">
        <v>23.5</v>
      </c>
      <c r="K46" s="64">
        <v>15.7</v>
      </c>
      <c r="L46" s="27">
        <f t="shared" si="1"/>
        <v>28.261988606607286</v>
      </c>
      <c r="M46" s="27">
        <f t="shared" si="2"/>
        <v>1.5309113807329477</v>
      </c>
      <c r="N46" s="91">
        <f t="shared" si="4"/>
        <v>3.90625E-3</v>
      </c>
      <c r="O46" s="91">
        <f t="shared" si="5"/>
        <v>3.9171656686626741E-3</v>
      </c>
      <c r="P46" s="91"/>
    </row>
    <row r="47" spans="1:16">
      <c r="A47" s="20" t="s">
        <v>213</v>
      </c>
      <c r="B47" s="92">
        <v>45</v>
      </c>
      <c r="C47" s="49" t="s">
        <v>214</v>
      </c>
      <c r="D47" s="20">
        <v>5216</v>
      </c>
      <c r="E47" s="20">
        <v>3912</v>
      </c>
      <c r="G47" s="20" t="s">
        <v>215</v>
      </c>
      <c r="H47" s="15">
        <f t="shared" si="25"/>
        <v>24.494582091727164</v>
      </c>
      <c r="I47" s="27">
        <f>'DATI CAMERA E ROTTA'!$B$6</f>
        <v>16</v>
      </c>
      <c r="J47" s="64">
        <v>23.5</v>
      </c>
      <c r="K47" s="64">
        <v>15.7</v>
      </c>
      <c r="L47" s="27">
        <f t="shared" si="1"/>
        <v>28.261988606607286</v>
      </c>
      <c r="M47" s="27">
        <f t="shared" si="2"/>
        <v>1.5309113807329477</v>
      </c>
      <c r="N47" s="28">
        <f>N46</f>
        <v>3.90625E-3</v>
      </c>
      <c r="O47" s="28">
        <f>O46</f>
        <v>3.9171656686626741E-3</v>
      </c>
      <c r="P47" s="91"/>
    </row>
    <row r="48" spans="1:16">
      <c r="A48" s="20" t="s">
        <v>241</v>
      </c>
      <c r="B48" s="92">
        <v>46</v>
      </c>
      <c r="C48" s="49" t="s">
        <v>214</v>
      </c>
      <c r="D48" s="21">
        <v>6016</v>
      </c>
      <c r="E48" s="21">
        <v>3376</v>
      </c>
      <c r="G48" s="20" t="s">
        <v>215</v>
      </c>
      <c r="H48" s="15">
        <f t="shared" si="25"/>
        <v>24.494582091727164</v>
      </c>
      <c r="I48" s="27">
        <f>'DATI CAMERA E ROTTA'!$B$6</f>
        <v>16</v>
      </c>
      <c r="J48" s="64">
        <v>23.5</v>
      </c>
      <c r="K48" s="64">
        <v>15.7</v>
      </c>
      <c r="L48" s="27">
        <f t="shared" ref="L48" si="26">SQRT(J48^2+K48^2)</f>
        <v>28.261988606607286</v>
      </c>
      <c r="M48" s="27">
        <f t="shared" ref="M48" si="27">43.2666/L48</f>
        <v>1.5309113807329477</v>
      </c>
      <c r="N48" s="28">
        <f>N46</f>
        <v>3.90625E-3</v>
      </c>
      <c r="O48" s="28">
        <f>O46</f>
        <v>3.9171656686626741E-3</v>
      </c>
      <c r="P48" s="91"/>
    </row>
    <row r="51" spans="1:30">
      <c r="A51" s="92" t="s">
        <v>223</v>
      </c>
      <c r="B51" s="94"/>
      <c r="C51" s="20" t="s">
        <v>243</v>
      </c>
      <c r="D51" s="20" t="s">
        <v>244</v>
      </c>
      <c r="E51" s="25" t="s">
        <v>218</v>
      </c>
      <c r="F51" s="20" t="s">
        <v>230</v>
      </c>
      <c r="G51" s="20" t="s">
        <v>220</v>
      </c>
      <c r="H51" s="20" t="s">
        <v>63</v>
      </c>
      <c r="I51" s="20" t="s">
        <v>61</v>
      </c>
      <c r="J51" s="20" t="s">
        <v>219</v>
      </c>
      <c r="K51" s="20" t="s">
        <v>253</v>
      </c>
      <c r="L51" s="20" t="s">
        <v>254</v>
      </c>
    </row>
    <row r="52" spans="1:30">
      <c r="A52" s="1">
        <v>5</v>
      </c>
      <c r="B52" s="53"/>
      <c r="C52" s="20">
        <f>VLOOKUP(A52,B3:J48,J1)</f>
        <v>13.2</v>
      </c>
      <c r="D52" s="20">
        <f>VLOOKUP(A52,B3:K48,K1)</f>
        <v>8.8000000000000007</v>
      </c>
      <c r="E52" s="27">
        <f>VLOOKUP(A52,B3:L48,L1)</f>
        <v>15.864425612041552</v>
      </c>
      <c r="F52" s="20">
        <f>VLOOKUP(A52,B3:H48,H1)</f>
        <v>24</v>
      </c>
      <c r="G52" s="27">
        <f>VLOOKUP(A52,B3:I48,I1)</f>
        <v>8.8000031130016527</v>
      </c>
      <c r="H52" s="15">
        <f>VLOOKUP(A52,B3:D48,D1)</f>
        <v>5472</v>
      </c>
      <c r="I52" s="15">
        <f>VLOOKUP(A52,B3:E48,E1)</f>
        <v>3648</v>
      </c>
      <c r="J52" s="27">
        <f>VLOOKUP(A52,B3:M48,M1)</f>
        <v>2.7272717624998291</v>
      </c>
      <c r="K52" s="65">
        <f>VLOOKUP(A52,B3:N48,N1)</f>
        <v>2.4122807017543857E-3</v>
      </c>
      <c r="L52" s="65">
        <f>VLOOKUP(A52,B3:O48,O1)</f>
        <v>2.4122807017543861E-3</v>
      </c>
    </row>
    <row r="54" spans="1:30" customFormat="1">
      <c r="A54" s="19"/>
      <c r="B54" s="20"/>
      <c r="K54" s="20"/>
      <c r="L54" s="20"/>
      <c r="M54" s="20"/>
      <c r="N54" s="20"/>
      <c r="O54" s="20"/>
      <c r="P54" s="20"/>
      <c r="Q54" s="20"/>
      <c r="R54" s="20"/>
      <c r="S54" s="20"/>
      <c r="T54" s="20"/>
      <c r="U54" s="22"/>
      <c r="V54" s="20"/>
      <c r="W54" s="20"/>
      <c r="X54" s="20"/>
      <c r="Y54" s="20"/>
      <c r="Z54" s="20"/>
      <c r="AA54" s="20"/>
      <c r="AB54" s="20"/>
      <c r="AC54" s="20"/>
      <c r="AD54" s="20"/>
    </row>
    <row r="55" spans="1:30" customFormat="1">
      <c r="A55" t="s">
        <v>245</v>
      </c>
      <c r="B55" s="27">
        <f>'DATI CAMERA E ROTTA'!B14*100/B58*K52</f>
        <v>1.6447362602795019</v>
      </c>
      <c r="C55" t="s">
        <v>72</v>
      </c>
      <c r="D55" t="s">
        <v>248</v>
      </c>
      <c r="K55" s="20"/>
      <c r="L55" s="20"/>
      <c r="M55" s="20"/>
      <c r="N55" s="20"/>
      <c r="O55" s="20"/>
      <c r="P55" s="20"/>
      <c r="Q55" s="20"/>
      <c r="R55" s="20"/>
      <c r="S55" s="20"/>
      <c r="T55" s="20"/>
      <c r="U55" s="22"/>
      <c r="V55" s="20"/>
      <c r="W55" s="20"/>
      <c r="X55" s="20"/>
      <c r="Y55" s="20"/>
      <c r="Z55" s="20"/>
      <c r="AA55" s="20"/>
      <c r="AB55" s="20"/>
      <c r="AC55" s="20"/>
      <c r="AD55" s="20"/>
    </row>
    <row r="56" spans="1:30" customFormat="1">
      <c r="A56" t="s">
        <v>246</v>
      </c>
      <c r="B56" s="27">
        <f>'DATI CAMERA E ROTTA'!B14*100/B58*L52</f>
        <v>1.6447362602795021</v>
      </c>
      <c r="C56" t="s">
        <v>72</v>
      </c>
      <c r="D56" t="s">
        <v>249</v>
      </c>
      <c r="K56" s="20"/>
      <c r="L56" s="20"/>
      <c r="M56" s="20"/>
      <c r="N56" s="20"/>
      <c r="O56" s="20"/>
      <c r="P56" s="20"/>
      <c r="Q56" s="20"/>
      <c r="R56" s="20"/>
      <c r="S56" s="20"/>
      <c r="T56" s="20"/>
      <c r="U56" s="22"/>
      <c r="V56" s="20"/>
      <c r="W56" s="20"/>
      <c r="X56" s="20"/>
      <c r="Y56" s="20"/>
      <c r="Z56" s="20"/>
      <c r="AA56" s="20"/>
      <c r="AB56" s="20"/>
      <c r="AC56" s="20"/>
      <c r="AD56" s="20"/>
    </row>
    <row r="57" spans="1:30" customFormat="1">
      <c r="A57" t="s">
        <v>247</v>
      </c>
      <c r="B57" s="27">
        <f>(B55+B56)/2</f>
        <v>1.6447362602795019</v>
      </c>
      <c r="C57" t="s">
        <v>72</v>
      </c>
      <c r="D57" t="s">
        <v>250</v>
      </c>
      <c r="K57" s="20"/>
      <c r="L57" s="20"/>
      <c r="M57" s="20"/>
      <c r="N57" s="20"/>
      <c r="O57" s="20"/>
      <c r="P57" s="20"/>
      <c r="Q57" s="20"/>
      <c r="R57" s="20"/>
      <c r="S57" s="20"/>
      <c r="T57" s="20"/>
      <c r="U57" s="22"/>
      <c r="V57" s="20"/>
      <c r="W57" s="20"/>
      <c r="X57" s="20"/>
      <c r="Y57" s="20"/>
      <c r="Z57" s="20"/>
      <c r="AA57" s="20"/>
      <c r="AB57" s="20"/>
      <c r="AC57" s="20"/>
      <c r="AD57" s="20"/>
    </row>
    <row r="58" spans="1:30" customFormat="1">
      <c r="A58" t="s">
        <v>217</v>
      </c>
      <c r="B58" s="4">
        <f>G52</f>
        <v>8.8000031130016527</v>
      </c>
      <c r="C58" t="s">
        <v>60</v>
      </c>
      <c r="D58" t="s">
        <v>64</v>
      </c>
      <c r="K58" s="20"/>
      <c r="L58" s="20"/>
      <c r="M58" s="20"/>
      <c r="N58" s="20"/>
      <c r="O58" s="20"/>
      <c r="P58" s="20"/>
      <c r="Q58" s="20"/>
      <c r="R58" s="20"/>
      <c r="S58" s="20"/>
      <c r="T58" s="20"/>
      <c r="U58" s="22"/>
      <c r="V58" s="20"/>
      <c r="W58" s="20"/>
      <c r="X58" s="20"/>
      <c r="Y58" s="20"/>
      <c r="Z58" s="20"/>
      <c r="AA58" s="20"/>
      <c r="AB58" s="20"/>
      <c r="AC58" s="20"/>
      <c r="AD58" s="20"/>
    </row>
    <row r="59" spans="1:30" customFormat="1">
      <c r="A59" t="s">
        <v>65</v>
      </c>
      <c r="B59" s="30">
        <f>H52</f>
        <v>5472</v>
      </c>
      <c r="C59" t="s">
        <v>66</v>
      </c>
      <c r="D59" t="s">
        <v>67</v>
      </c>
      <c r="K59" s="20"/>
      <c r="L59" s="20"/>
      <c r="M59" s="20"/>
      <c r="N59" s="20"/>
      <c r="O59" s="20"/>
      <c r="P59" s="20"/>
      <c r="Q59" s="20"/>
      <c r="R59" s="20"/>
      <c r="S59" s="20"/>
      <c r="T59" s="20"/>
      <c r="U59" s="22"/>
      <c r="V59" s="20"/>
      <c r="W59" s="20"/>
      <c r="X59" s="20"/>
      <c r="Y59" s="20"/>
      <c r="Z59" s="20"/>
      <c r="AA59" s="20"/>
      <c r="AB59" s="20"/>
      <c r="AC59" s="20"/>
      <c r="AD59" s="20"/>
    </row>
    <row r="60" spans="1:30" customFormat="1">
      <c r="A60" t="s">
        <v>68</v>
      </c>
      <c r="B60" s="30">
        <f>I52</f>
        <v>3648</v>
      </c>
      <c r="C60" t="s">
        <v>66</v>
      </c>
      <c r="D60" t="s">
        <v>69</v>
      </c>
      <c r="J60" s="20"/>
      <c r="K60" s="20"/>
      <c r="L60" s="20"/>
      <c r="M60" s="20"/>
      <c r="N60" s="20"/>
      <c r="O60" s="20"/>
      <c r="P60" s="20"/>
      <c r="Q60" s="20"/>
      <c r="R60" s="20"/>
      <c r="S60" s="20"/>
      <c r="T60" s="20"/>
      <c r="U60" s="22"/>
      <c r="V60" s="20"/>
      <c r="W60" s="20"/>
      <c r="X60" s="20"/>
      <c r="Y60" s="20"/>
      <c r="Z60" s="20"/>
      <c r="AA60" s="20"/>
      <c r="AB60" s="20"/>
      <c r="AC60" s="20"/>
      <c r="AD60" s="20"/>
    </row>
    <row r="61" spans="1:30" customFormat="1">
      <c r="B61" s="21"/>
      <c r="K61" s="20"/>
      <c r="L61" s="20"/>
      <c r="M61" s="20"/>
      <c r="N61" s="20"/>
      <c r="O61" s="20"/>
      <c r="P61" s="20"/>
      <c r="Q61" s="20"/>
      <c r="R61" s="20"/>
      <c r="S61" s="20"/>
      <c r="T61" s="22"/>
      <c r="U61" s="20"/>
      <c r="V61" s="20"/>
      <c r="W61" s="20"/>
      <c r="X61" s="20"/>
      <c r="Y61" s="20"/>
      <c r="Z61" s="20"/>
      <c r="AA61" s="20"/>
      <c r="AB61" s="20"/>
      <c r="AC61" s="20"/>
    </row>
    <row r="62" spans="1:30">
      <c r="T62" s="22"/>
      <c r="U62" s="20"/>
    </row>
    <row r="63" spans="1:30">
      <c r="T63" s="22"/>
      <c r="U63" s="20"/>
    </row>
    <row r="64" spans="1:30">
      <c r="A64" s="20" t="s">
        <v>158</v>
      </c>
      <c r="B64" s="1">
        <v>1</v>
      </c>
      <c r="T64" s="22"/>
      <c r="U64" s="20"/>
    </row>
    <row r="65" spans="1:23">
      <c r="A65" s="20" t="s">
        <v>164</v>
      </c>
      <c r="B65" s="1">
        <v>1</v>
      </c>
      <c r="T65" s="22"/>
      <c r="U65" s="20"/>
    </row>
    <row r="66" spans="1:23">
      <c r="A66" s="20" t="s">
        <v>174</v>
      </c>
      <c r="B66" s="1">
        <v>2</v>
      </c>
      <c r="T66" s="22"/>
      <c r="U66" s="20"/>
    </row>
    <row r="67" spans="1:23">
      <c r="A67" s="20" t="s">
        <v>175</v>
      </c>
      <c r="B67" s="1">
        <v>1</v>
      </c>
      <c r="T67" s="22"/>
      <c r="U67" s="20"/>
    </row>
    <row r="68" spans="1:23">
      <c r="T68" s="22"/>
      <c r="U68" s="20"/>
    </row>
    <row r="69" spans="1:23">
      <c r="C69" s="101">
        <v>1</v>
      </c>
      <c r="D69" s="102"/>
      <c r="E69" s="102"/>
      <c r="F69" s="102"/>
      <c r="G69" s="103"/>
      <c r="H69" s="107">
        <v>2</v>
      </c>
      <c r="I69" s="108"/>
      <c r="J69" s="108"/>
      <c r="K69" s="108"/>
      <c r="L69" s="109"/>
      <c r="M69" s="107">
        <v>3</v>
      </c>
      <c r="N69" s="108"/>
      <c r="O69" s="108"/>
      <c r="P69" s="108"/>
      <c r="Q69" s="108"/>
      <c r="R69" s="109"/>
      <c r="S69" s="107">
        <v>4</v>
      </c>
      <c r="T69" s="108"/>
      <c r="U69" s="108"/>
      <c r="V69" s="108"/>
      <c r="W69" s="109"/>
    </row>
    <row r="70" spans="1:23">
      <c r="C70" s="104" t="s">
        <v>166</v>
      </c>
      <c r="D70" s="105"/>
      <c r="E70" s="105"/>
      <c r="F70" s="105"/>
      <c r="G70" s="106"/>
      <c r="H70" s="104" t="s">
        <v>167</v>
      </c>
      <c r="I70" s="105"/>
      <c r="J70" s="105"/>
      <c r="K70" s="105"/>
      <c r="L70" s="106"/>
      <c r="M70" s="104" t="s">
        <v>168</v>
      </c>
      <c r="N70" s="105"/>
      <c r="O70" s="105"/>
      <c r="P70" s="105"/>
      <c r="Q70" s="105"/>
      <c r="R70" s="106"/>
      <c r="S70" s="104" t="s">
        <v>169</v>
      </c>
      <c r="T70" s="105"/>
      <c r="U70" s="105"/>
      <c r="V70" s="105"/>
      <c r="W70" s="106"/>
    </row>
    <row r="71" spans="1:23">
      <c r="A71" s="20" t="s">
        <v>143</v>
      </c>
      <c r="B71" s="20" t="s">
        <v>142</v>
      </c>
      <c r="C71" s="66" t="s">
        <v>99</v>
      </c>
      <c r="D71" s="20" t="s">
        <v>100</v>
      </c>
      <c r="E71" s="20" t="s">
        <v>101</v>
      </c>
      <c r="F71" s="21" t="s">
        <v>130</v>
      </c>
      <c r="G71" s="67" t="s">
        <v>131</v>
      </c>
      <c r="H71" s="66" t="s">
        <v>159</v>
      </c>
      <c r="I71" s="20" t="s">
        <v>100</v>
      </c>
      <c r="J71" s="20" t="s">
        <v>101</v>
      </c>
      <c r="K71" s="21" t="s">
        <v>130</v>
      </c>
      <c r="L71" s="67" t="s">
        <v>131</v>
      </c>
      <c r="M71" s="66" t="s">
        <v>159</v>
      </c>
      <c r="N71" s="20" t="s">
        <v>100</v>
      </c>
      <c r="O71" s="20" t="s">
        <v>101</v>
      </c>
      <c r="Q71" s="21" t="s">
        <v>130</v>
      </c>
      <c r="R71" s="67" t="s">
        <v>131</v>
      </c>
      <c r="S71" s="66" t="s">
        <v>159</v>
      </c>
      <c r="T71" s="20" t="s">
        <v>100</v>
      </c>
      <c r="U71" s="20" t="s">
        <v>101</v>
      </c>
      <c r="V71" s="21" t="s">
        <v>130</v>
      </c>
      <c r="W71" s="67" t="s">
        <v>131</v>
      </c>
    </row>
    <row r="72" spans="1:23">
      <c r="C72" s="66"/>
      <c r="D72" s="59" t="s">
        <v>57</v>
      </c>
      <c r="E72" s="59" t="s">
        <v>57</v>
      </c>
      <c r="F72" s="68" t="s">
        <v>56</v>
      </c>
      <c r="G72" s="69" t="s">
        <v>56</v>
      </c>
      <c r="H72" s="66"/>
      <c r="I72" s="59" t="s">
        <v>57</v>
      </c>
      <c r="J72" s="59" t="s">
        <v>57</v>
      </c>
      <c r="K72" s="68" t="s">
        <v>56</v>
      </c>
      <c r="L72" s="69" t="s">
        <v>56</v>
      </c>
      <c r="M72" s="66"/>
      <c r="N72" s="59" t="s">
        <v>57</v>
      </c>
      <c r="O72" s="59" t="s">
        <v>57</v>
      </c>
      <c r="P72" s="59"/>
      <c r="Q72" s="68" t="s">
        <v>56</v>
      </c>
      <c r="R72" s="69" t="s">
        <v>56</v>
      </c>
      <c r="S72" s="66"/>
      <c r="T72" s="59" t="s">
        <v>57</v>
      </c>
      <c r="U72" s="59" t="s">
        <v>57</v>
      </c>
      <c r="V72" s="68" t="s">
        <v>56</v>
      </c>
      <c r="W72" s="69" t="s">
        <v>56</v>
      </c>
    </row>
    <row r="73" spans="1:23">
      <c r="A73" s="20">
        <f>FIND(",",'AREA DI RILIEVO'!B29)</f>
        <v>17</v>
      </c>
      <c r="B73" s="20">
        <f>FIND(",",'AREA DI RILIEVO'!B29,A73+1)</f>
        <v>36</v>
      </c>
      <c r="C73" s="66">
        <v>1</v>
      </c>
      <c r="D73" s="14" t="str">
        <f>IF($B$64=1,MID('AREA DI RILIEVO'!B29,1,A73-1),'AREA DI RILIEVO'!B40)</f>
        <v>45.8629937123294</v>
      </c>
      <c r="E73" s="14" t="str">
        <f>IF($B$64=1,MID('AREA DI RILIEVO'!B29,A73+1,B73-1-A73),'AREA DI RILIEVO'!C40)</f>
        <v>10.768091512662966</v>
      </c>
      <c r="F73" s="70">
        <f t="shared" ref="F73:F77" si="28">D73*PI()/180</f>
        <v>0.80046024510160507</v>
      </c>
      <c r="G73" s="71">
        <f t="shared" ref="G73:G77" si="29">E73*PI()/180</f>
        <v>0.18793865105202429</v>
      </c>
      <c r="H73" s="66">
        <v>1</v>
      </c>
      <c r="I73" s="14" t="str">
        <f>$D$73</f>
        <v>45.8629937123294</v>
      </c>
      <c r="J73" s="14" t="str">
        <f>$E$73</f>
        <v>10.768091512662966</v>
      </c>
      <c r="K73" s="70">
        <f t="shared" ref="K73" si="30">I73*PI()/180</f>
        <v>0.80046024510160507</v>
      </c>
      <c r="L73" s="71">
        <f t="shared" ref="L73" si="31">J73*PI()/180</f>
        <v>0.18793865105202429</v>
      </c>
      <c r="M73" s="66">
        <v>1</v>
      </c>
      <c r="N73" s="14" t="str">
        <f>$D$73</f>
        <v>45.8629937123294</v>
      </c>
      <c r="O73" s="14" t="str">
        <f>$E$73</f>
        <v>10.768091512662966</v>
      </c>
      <c r="P73" s="14"/>
      <c r="Q73" s="70">
        <f t="shared" ref="Q73" si="32">N73*PI()/180</f>
        <v>0.80046024510160507</v>
      </c>
      <c r="R73" s="71">
        <f t="shared" ref="R73" si="33">O73*PI()/180</f>
        <v>0.18793865105202429</v>
      </c>
      <c r="S73" s="66">
        <v>1</v>
      </c>
      <c r="T73" s="14" t="str">
        <f>$D$73</f>
        <v>45.8629937123294</v>
      </c>
      <c r="U73" s="14" t="str">
        <f>$E$73</f>
        <v>10.768091512662966</v>
      </c>
      <c r="V73" s="70">
        <f t="shared" ref="V73" si="34">T73*PI()/180</f>
        <v>0.80046024510160507</v>
      </c>
      <c r="W73" s="71">
        <f t="shared" ref="W73" si="35">U73*PI()/180</f>
        <v>0.18793865105202429</v>
      </c>
    </row>
    <row r="74" spans="1:23">
      <c r="A74" s="20">
        <f>FIND(",",'AREA DI RILIEVO'!B30)</f>
        <v>18</v>
      </c>
      <c r="B74" s="20">
        <f>FIND(",",'AREA DI RILIEVO'!B30,A74+1)</f>
        <v>37</v>
      </c>
      <c r="C74" s="66">
        <v>2</v>
      </c>
      <c r="D74" s="14" t="str">
        <f>IF($B$64=1,MID('AREA DI RILIEVO'!B30,1,A74-1),'AREA DI RILIEVO'!B41)</f>
        <v>45.86397244519919</v>
      </c>
      <c r="E74" s="14" t="str">
        <f>IF($B$64=1,MID('AREA DI RILIEVO'!B30,A74+1,B74-1-A74),'AREA DI RILIEVO'!C41)</f>
        <v>10.768434835416873</v>
      </c>
      <c r="F74" s="70">
        <f t="shared" si="28"/>
        <v>0.80047732721267895</v>
      </c>
      <c r="G74" s="71">
        <f t="shared" si="29"/>
        <v>0.18794464316447682</v>
      </c>
      <c r="H74" s="66">
        <v>2</v>
      </c>
      <c r="I74" s="14" t="str">
        <f>$D$75</f>
        <v>45.86198507645879</v>
      </c>
      <c r="J74" s="14" t="str">
        <f>$E$75</f>
        <v>10.773563219053347</v>
      </c>
      <c r="K74" s="70">
        <f t="shared" ref="K74:L77" si="36">I74*PI()/180</f>
        <v>0.80044264108470775</v>
      </c>
      <c r="L74" s="71">
        <f t="shared" si="36"/>
        <v>0.18803415034423915</v>
      </c>
      <c r="M74" s="66">
        <v>2</v>
      </c>
      <c r="N74" s="14" t="str">
        <f>$D$76</f>
        <v>45.86279198661917</v>
      </c>
      <c r="O74" s="14" t="str">
        <f>$E$76</f>
        <v>10.77400310133179</v>
      </c>
      <c r="P74" s="14"/>
      <c r="Q74" s="70">
        <f t="shared" ref="Q74:R77" si="37">N74*PI()/180</f>
        <v>0.80045672432377446</v>
      </c>
      <c r="R74" s="71">
        <f t="shared" si="37"/>
        <v>0.18804182773831843</v>
      </c>
      <c r="S74" s="66">
        <v>2</v>
      </c>
      <c r="T74" s="14" t="str">
        <f>$D$77</f>
        <v>45.865653434725225</v>
      </c>
      <c r="U74" s="14" t="str">
        <f>$E$77</f>
        <v>10.769936872465212</v>
      </c>
      <c r="V74" s="70">
        <f t="shared" ref="V74:W77" si="38">T74*PI()/180</f>
        <v>0.80050666601460085</v>
      </c>
      <c r="W74" s="71">
        <f t="shared" si="38"/>
        <v>0.18797085865645838</v>
      </c>
    </row>
    <row r="75" spans="1:23">
      <c r="A75" s="20">
        <f>FIND(",",'AREA DI RILIEVO'!B31)</f>
        <v>18</v>
      </c>
      <c r="B75" s="20">
        <f>FIND(",",'AREA DI RILIEVO'!B31,A75+1)</f>
        <v>37</v>
      </c>
      <c r="C75" s="66">
        <v>3</v>
      </c>
      <c r="D75" s="14" t="str">
        <f>IF($B$64=1,MID('AREA DI RILIEVO'!B31,1,A75-1),'AREA DI RILIEVO'!B42)</f>
        <v>45.86198507645879</v>
      </c>
      <c r="E75" s="14" t="str">
        <f>IF($B$64=1,MID('AREA DI RILIEVO'!B31,A75+1,B75-1-A75),'AREA DI RILIEVO'!C42)</f>
        <v>10.773563219053347</v>
      </c>
      <c r="F75" s="70">
        <f t="shared" si="28"/>
        <v>0.80044264108470775</v>
      </c>
      <c r="G75" s="71">
        <f t="shared" si="29"/>
        <v>0.18803415034423915</v>
      </c>
      <c r="H75" s="66">
        <v>3</v>
      </c>
      <c r="I75" s="14" t="str">
        <f>$D$76</f>
        <v>45.86279198661917</v>
      </c>
      <c r="J75" s="14" t="str">
        <f>$E$76</f>
        <v>10.77400310133179</v>
      </c>
      <c r="K75" s="70">
        <f t="shared" si="36"/>
        <v>0.80045672432377446</v>
      </c>
      <c r="L75" s="71">
        <f t="shared" si="36"/>
        <v>0.18804182773831843</v>
      </c>
      <c r="M75" s="66">
        <v>3</v>
      </c>
      <c r="N75" s="14" t="str">
        <f>$D$77</f>
        <v>45.865653434725225</v>
      </c>
      <c r="O75" s="14" t="str">
        <f>$E$77</f>
        <v>10.769936872465212</v>
      </c>
      <c r="P75" s="14"/>
      <c r="Q75" s="70">
        <f t="shared" si="37"/>
        <v>0.80050666601460085</v>
      </c>
      <c r="R75" s="71">
        <f t="shared" si="37"/>
        <v>0.18797085865645838</v>
      </c>
      <c r="S75" s="66">
        <v>3</v>
      </c>
      <c r="T75" s="14" t="str">
        <f>$D$74</f>
        <v>45.86397244519919</v>
      </c>
      <c r="U75" s="14" t="str">
        <f>$E$74</f>
        <v>10.768434835416873</v>
      </c>
      <c r="V75" s="70">
        <f t="shared" si="38"/>
        <v>0.80047732721267895</v>
      </c>
      <c r="W75" s="71">
        <f t="shared" si="38"/>
        <v>0.18794464316447682</v>
      </c>
    </row>
    <row r="76" spans="1:23">
      <c r="A76" s="20">
        <f>FIND(",",'AREA DI RILIEVO'!B32)</f>
        <v>18</v>
      </c>
      <c r="B76" s="20">
        <f>FIND(",",'AREA DI RILIEVO'!B32,A76+1)</f>
        <v>36</v>
      </c>
      <c r="C76" s="66">
        <v>4</v>
      </c>
      <c r="D76" s="14" t="str">
        <f>IF($B$64=1,MID('AREA DI RILIEVO'!B32,1,A76-1),'AREA DI RILIEVO'!B43)</f>
        <v>45.86279198661917</v>
      </c>
      <c r="E76" s="14" t="str">
        <f>IF($B$64=1,MID('AREA DI RILIEVO'!B32,A76+1,B76-1-A76),'AREA DI RILIEVO'!C43)</f>
        <v>10.77400310133179</v>
      </c>
      <c r="F76" s="70">
        <f t="shared" si="28"/>
        <v>0.80045672432377446</v>
      </c>
      <c r="G76" s="71">
        <f t="shared" si="29"/>
        <v>0.18804182773831843</v>
      </c>
      <c r="H76" s="66">
        <v>4</v>
      </c>
      <c r="I76" s="14" t="str">
        <f>$D$77</f>
        <v>45.865653434725225</v>
      </c>
      <c r="J76" s="14" t="str">
        <f>$E$77</f>
        <v>10.769936872465212</v>
      </c>
      <c r="K76" s="70">
        <f t="shared" si="36"/>
        <v>0.80050666601460085</v>
      </c>
      <c r="L76" s="71">
        <f t="shared" si="36"/>
        <v>0.18797085865645838</v>
      </c>
      <c r="M76" s="66">
        <v>4</v>
      </c>
      <c r="N76" s="14" t="str">
        <f>$D$74</f>
        <v>45.86397244519919</v>
      </c>
      <c r="O76" s="14" t="str">
        <f>$E$74</f>
        <v>10.768434835416873</v>
      </c>
      <c r="P76" s="14"/>
      <c r="Q76" s="70">
        <f t="shared" si="37"/>
        <v>0.80047732721267895</v>
      </c>
      <c r="R76" s="71">
        <f t="shared" si="37"/>
        <v>0.18794464316447682</v>
      </c>
      <c r="S76" s="66">
        <v>4</v>
      </c>
      <c r="T76" s="14" t="str">
        <f>$D$75</f>
        <v>45.86198507645879</v>
      </c>
      <c r="U76" s="14" t="str">
        <f>$E$75</f>
        <v>10.773563219053347</v>
      </c>
      <c r="V76" s="70">
        <f t="shared" si="38"/>
        <v>0.80044264108470775</v>
      </c>
      <c r="W76" s="71">
        <f t="shared" si="38"/>
        <v>0.18803415034423915</v>
      </c>
    </row>
    <row r="77" spans="1:23">
      <c r="A77" s="20">
        <f>FIND(",",'AREA DI RILIEVO'!B33)</f>
        <v>19</v>
      </c>
      <c r="B77" s="20">
        <f>FIND(",",'AREA DI RILIEVO'!B33,A77+1)</f>
        <v>38</v>
      </c>
      <c r="C77" s="72">
        <v>5</v>
      </c>
      <c r="D77" s="73" t="str">
        <f>IF($B$64=1,MID('AREA DI RILIEVO'!B33,1,A77-1),'AREA DI RILIEVO'!B44)</f>
        <v>45.865653434725225</v>
      </c>
      <c r="E77" s="73" t="str">
        <f>IF($B$64=1,MID('AREA DI RILIEVO'!B33,A77+1,B77-1-A77),'AREA DI RILIEVO'!C44)</f>
        <v>10.769936872465212</v>
      </c>
      <c r="F77" s="74">
        <f t="shared" si="28"/>
        <v>0.80050666601460085</v>
      </c>
      <c r="G77" s="75">
        <f t="shared" si="29"/>
        <v>0.18797085865645838</v>
      </c>
      <c r="H77" s="72">
        <v>5</v>
      </c>
      <c r="I77" s="73" t="str">
        <f>$D$74</f>
        <v>45.86397244519919</v>
      </c>
      <c r="J77" s="73" t="str">
        <f>$E$74</f>
        <v>10.768434835416873</v>
      </c>
      <c r="K77" s="74">
        <f t="shared" si="36"/>
        <v>0.80047732721267895</v>
      </c>
      <c r="L77" s="75">
        <f t="shared" si="36"/>
        <v>0.18794464316447682</v>
      </c>
      <c r="M77" s="72">
        <v>5</v>
      </c>
      <c r="N77" s="73" t="str">
        <f>$D$75</f>
        <v>45.86198507645879</v>
      </c>
      <c r="O77" s="73" t="str">
        <f>$E$75</f>
        <v>10.773563219053347</v>
      </c>
      <c r="P77" s="73"/>
      <c r="Q77" s="74">
        <f t="shared" si="37"/>
        <v>0.80044264108470775</v>
      </c>
      <c r="R77" s="75">
        <f t="shared" si="37"/>
        <v>0.18803415034423915</v>
      </c>
      <c r="S77" s="72">
        <v>5</v>
      </c>
      <c r="T77" s="73" t="str">
        <f>$D$76</f>
        <v>45.86279198661917</v>
      </c>
      <c r="U77" s="73" t="str">
        <f>$E$76</f>
        <v>10.77400310133179</v>
      </c>
      <c r="V77" s="74">
        <f t="shared" si="38"/>
        <v>0.80045672432377446</v>
      </c>
      <c r="W77" s="75">
        <f t="shared" si="38"/>
        <v>0.18804182773831843</v>
      </c>
    </row>
    <row r="78" spans="1:23">
      <c r="C78" s="101">
        <v>5</v>
      </c>
      <c r="D78" s="102"/>
      <c r="E78" s="102"/>
      <c r="F78" s="102"/>
      <c r="G78" s="103"/>
      <c r="H78" s="101">
        <v>6</v>
      </c>
      <c r="I78" s="102"/>
      <c r="J78" s="102"/>
      <c r="K78" s="102"/>
      <c r="L78" s="103"/>
      <c r="M78" s="101">
        <v>7</v>
      </c>
      <c r="N78" s="102"/>
      <c r="O78" s="102"/>
      <c r="P78" s="102"/>
      <c r="Q78" s="102"/>
      <c r="R78" s="103"/>
      <c r="S78" s="101">
        <v>8</v>
      </c>
      <c r="T78" s="102"/>
      <c r="U78" s="102"/>
      <c r="V78" s="102"/>
      <c r="W78" s="103"/>
    </row>
    <row r="79" spans="1:23">
      <c r="C79" s="104" t="s">
        <v>171</v>
      </c>
      <c r="D79" s="105"/>
      <c r="E79" s="105"/>
      <c r="F79" s="105"/>
      <c r="G79" s="106"/>
      <c r="H79" s="104" t="s">
        <v>172</v>
      </c>
      <c r="I79" s="105"/>
      <c r="J79" s="105"/>
      <c r="K79" s="105"/>
      <c r="L79" s="106"/>
      <c r="M79" s="104" t="s">
        <v>173</v>
      </c>
      <c r="N79" s="105"/>
      <c r="O79" s="105"/>
      <c r="P79" s="105"/>
      <c r="Q79" s="105"/>
      <c r="R79" s="106"/>
      <c r="S79" s="104" t="s">
        <v>170</v>
      </c>
      <c r="T79" s="105"/>
      <c r="U79" s="105"/>
      <c r="V79" s="105"/>
      <c r="W79" s="106"/>
    </row>
    <row r="80" spans="1:23">
      <c r="C80" s="66" t="s">
        <v>159</v>
      </c>
      <c r="D80" s="20" t="s">
        <v>100</v>
      </c>
      <c r="E80" s="20" t="s">
        <v>101</v>
      </c>
      <c r="F80" s="21" t="s">
        <v>130</v>
      </c>
      <c r="G80" s="67" t="s">
        <v>131</v>
      </c>
      <c r="H80" s="66" t="s">
        <v>159</v>
      </c>
      <c r="I80" s="20" t="s">
        <v>100</v>
      </c>
      <c r="J80" s="20" t="s">
        <v>101</v>
      </c>
      <c r="K80" s="21" t="s">
        <v>130</v>
      </c>
      <c r="L80" s="67" t="s">
        <v>131</v>
      </c>
      <c r="M80" s="66" t="s">
        <v>159</v>
      </c>
      <c r="N80" s="20" t="s">
        <v>100</v>
      </c>
      <c r="O80" s="20" t="s">
        <v>101</v>
      </c>
      <c r="Q80" s="21" t="s">
        <v>130</v>
      </c>
      <c r="R80" s="67" t="s">
        <v>131</v>
      </c>
      <c r="S80" s="66" t="s">
        <v>159</v>
      </c>
      <c r="T80" s="20" t="s">
        <v>100</v>
      </c>
      <c r="U80" s="20" t="s">
        <v>101</v>
      </c>
      <c r="V80" s="21" t="s">
        <v>130</v>
      </c>
      <c r="W80" s="67" t="s">
        <v>131</v>
      </c>
    </row>
    <row r="81" spans="1:23">
      <c r="C81" s="66"/>
      <c r="D81" s="59" t="s">
        <v>57</v>
      </c>
      <c r="E81" s="59" t="s">
        <v>57</v>
      </c>
      <c r="F81" s="68" t="s">
        <v>56</v>
      </c>
      <c r="G81" s="69" t="s">
        <v>56</v>
      </c>
      <c r="H81" s="66"/>
      <c r="I81" s="59" t="s">
        <v>57</v>
      </c>
      <c r="J81" s="59" t="s">
        <v>57</v>
      </c>
      <c r="K81" s="68" t="s">
        <v>56</v>
      </c>
      <c r="L81" s="69" t="s">
        <v>56</v>
      </c>
      <c r="M81" s="66"/>
      <c r="N81" s="59" t="s">
        <v>57</v>
      </c>
      <c r="O81" s="59" t="s">
        <v>57</v>
      </c>
      <c r="P81" s="59"/>
      <c r="Q81" s="68" t="s">
        <v>56</v>
      </c>
      <c r="R81" s="69" t="s">
        <v>56</v>
      </c>
      <c r="S81" s="66"/>
      <c r="T81" s="59" t="s">
        <v>57</v>
      </c>
      <c r="U81" s="59" t="s">
        <v>57</v>
      </c>
      <c r="V81" s="68" t="s">
        <v>56</v>
      </c>
      <c r="W81" s="69" t="s">
        <v>56</v>
      </c>
    </row>
    <row r="82" spans="1:23">
      <c r="C82" s="66">
        <v>1</v>
      </c>
      <c r="D82" s="14" t="str">
        <f>$D$73</f>
        <v>45.8629937123294</v>
      </c>
      <c r="E82" s="14" t="str">
        <f>$E$73</f>
        <v>10.768091512662966</v>
      </c>
      <c r="F82" s="70">
        <f t="shared" ref="F82" si="39">D82*PI()/180</f>
        <v>0.80046024510160507</v>
      </c>
      <c r="G82" s="71">
        <f t="shared" ref="G82" si="40">E82*PI()/180</f>
        <v>0.18793865105202429</v>
      </c>
      <c r="H82" s="66">
        <v>1</v>
      </c>
      <c r="I82" s="14" t="str">
        <f>$D$73</f>
        <v>45.8629937123294</v>
      </c>
      <c r="J82" s="14" t="str">
        <f>$E$73</f>
        <v>10.768091512662966</v>
      </c>
      <c r="K82" s="70">
        <f t="shared" ref="K82" si="41">I82*PI()/180</f>
        <v>0.80046024510160507</v>
      </c>
      <c r="L82" s="71">
        <f t="shared" ref="L82" si="42">J82*PI()/180</f>
        <v>0.18793865105202429</v>
      </c>
      <c r="M82" s="66">
        <v>1</v>
      </c>
      <c r="N82" s="14" t="str">
        <f>$D$73</f>
        <v>45.8629937123294</v>
      </c>
      <c r="O82" s="14" t="str">
        <f>$E$73</f>
        <v>10.768091512662966</v>
      </c>
      <c r="P82" s="14"/>
      <c r="Q82" s="70">
        <f t="shared" ref="Q82" si="43">N82*PI()/180</f>
        <v>0.80046024510160507</v>
      </c>
      <c r="R82" s="71">
        <f t="shared" ref="R82" si="44">O82*PI()/180</f>
        <v>0.18793865105202429</v>
      </c>
      <c r="S82" s="66">
        <v>1</v>
      </c>
      <c r="T82" s="14" t="str">
        <f>$D$73</f>
        <v>45.8629937123294</v>
      </c>
      <c r="U82" s="14" t="str">
        <f>$E$73</f>
        <v>10.768091512662966</v>
      </c>
      <c r="V82" s="70">
        <f t="shared" ref="V82" si="45">T82*PI()/180</f>
        <v>0.80046024510160507</v>
      </c>
      <c r="W82" s="71">
        <f t="shared" ref="W82" si="46">U82*PI()/180</f>
        <v>0.18793865105202429</v>
      </c>
    </row>
    <row r="83" spans="1:23">
      <c r="C83" s="66">
        <v>2</v>
      </c>
      <c r="D83" s="14" t="str">
        <f>$D$77</f>
        <v>45.865653434725225</v>
      </c>
      <c r="E83" s="14" t="str">
        <f>$E$77</f>
        <v>10.769936872465212</v>
      </c>
      <c r="F83" s="70">
        <f t="shared" ref="F83:F86" si="47">D83*PI()/180</f>
        <v>0.80050666601460085</v>
      </c>
      <c r="G83" s="71">
        <f t="shared" ref="G83:G86" si="48">E83*PI()/180</f>
        <v>0.18797085865645838</v>
      </c>
      <c r="H83" s="66">
        <v>2</v>
      </c>
      <c r="I83" s="14" t="str">
        <f>$D$76</f>
        <v>45.86279198661917</v>
      </c>
      <c r="J83" s="14" t="str">
        <f>$E$76</f>
        <v>10.77400310133179</v>
      </c>
      <c r="K83" s="70">
        <f t="shared" ref="K83:K86" si="49">I83*PI()/180</f>
        <v>0.80045672432377446</v>
      </c>
      <c r="L83" s="71">
        <f t="shared" ref="L83:L86" si="50">J83*PI()/180</f>
        <v>0.18804182773831843</v>
      </c>
      <c r="M83" s="66">
        <v>2</v>
      </c>
      <c r="N83" s="14" t="str">
        <f>$D$75</f>
        <v>45.86198507645879</v>
      </c>
      <c r="O83" s="14" t="str">
        <f>$E$75</f>
        <v>10.773563219053347</v>
      </c>
      <c r="P83" s="14"/>
      <c r="Q83" s="70">
        <f t="shared" ref="Q83:Q86" si="51">N83*PI()/180</f>
        <v>0.80044264108470775</v>
      </c>
      <c r="R83" s="71">
        <f t="shared" ref="R83:R86" si="52">O83*PI()/180</f>
        <v>0.18803415034423915</v>
      </c>
      <c r="S83" s="66">
        <v>2</v>
      </c>
      <c r="T83" s="14" t="str">
        <f>$D$74</f>
        <v>45.86397244519919</v>
      </c>
      <c r="U83" s="14" t="str">
        <f>$E$74</f>
        <v>10.768434835416873</v>
      </c>
      <c r="V83" s="70">
        <f t="shared" ref="V83:V86" si="53">T83*PI()/180</f>
        <v>0.80047732721267895</v>
      </c>
      <c r="W83" s="71">
        <f t="shared" ref="W83:W86" si="54">U83*PI()/180</f>
        <v>0.18794464316447682</v>
      </c>
    </row>
    <row r="84" spans="1:23">
      <c r="C84" s="66">
        <v>3</v>
      </c>
      <c r="D84" s="14" t="str">
        <f>$D$76</f>
        <v>45.86279198661917</v>
      </c>
      <c r="E84" s="14" t="str">
        <f>$E$76</f>
        <v>10.77400310133179</v>
      </c>
      <c r="F84" s="70">
        <f t="shared" si="47"/>
        <v>0.80045672432377446</v>
      </c>
      <c r="G84" s="71">
        <f t="shared" si="48"/>
        <v>0.18804182773831843</v>
      </c>
      <c r="H84" s="66">
        <v>3</v>
      </c>
      <c r="I84" s="14" t="str">
        <f>$D$75</f>
        <v>45.86198507645879</v>
      </c>
      <c r="J84" s="14" t="str">
        <f>$E$75</f>
        <v>10.773563219053347</v>
      </c>
      <c r="K84" s="70">
        <f t="shared" si="49"/>
        <v>0.80044264108470775</v>
      </c>
      <c r="L84" s="71">
        <f t="shared" si="50"/>
        <v>0.18803415034423915</v>
      </c>
      <c r="M84" s="66">
        <v>3</v>
      </c>
      <c r="N84" s="14" t="str">
        <f>$D$74</f>
        <v>45.86397244519919</v>
      </c>
      <c r="O84" s="14" t="str">
        <f>$E$74</f>
        <v>10.768434835416873</v>
      </c>
      <c r="P84" s="14"/>
      <c r="Q84" s="70">
        <f t="shared" si="51"/>
        <v>0.80047732721267895</v>
      </c>
      <c r="R84" s="71">
        <f t="shared" si="52"/>
        <v>0.18794464316447682</v>
      </c>
      <c r="S84" s="66">
        <v>3</v>
      </c>
      <c r="T84" s="14" t="str">
        <f>$D$77</f>
        <v>45.865653434725225</v>
      </c>
      <c r="U84" s="14" t="str">
        <f>$E$77</f>
        <v>10.769936872465212</v>
      </c>
      <c r="V84" s="70">
        <f t="shared" si="53"/>
        <v>0.80050666601460085</v>
      </c>
      <c r="W84" s="71">
        <f t="shared" si="54"/>
        <v>0.18797085865645838</v>
      </c>
    </row>
    <row r="85" spans="1:23">
      <c r="C85" s="66">
        <v>4</v>
      </c>
      <c r="D85" s="14" t="str">
        <f>$D$75</f>
        <v>45.86198507645879</v>
      </c>
      <c r="E85" s="14" t="str">
        <f>$E$75</f>
        <v>10.773563219053347</v>
      </c>
      <c r="F85" s="70">
        <f t="shared" si="47"/>
        <v>0.80044264108470775</v>
      </c>
      <c r="G85" s="71">
        <f t="shared" si="48"/>
        <v>0.18803415034423915</v>
      </c>
      <c r="H85" s="66">
        <v>4</v>
      </c>
      <c r="I85" s="14" t="str">
        <f>$D$74</f>
        <v>45.86397244519919</v>
      </c>
      <c r="J85" s="14" t="str">
        <f>$E$74</f>
        <v>10.768434835416873</v>
      </c>
      <c r="K85" s="70">
        <f t="shared" si="49"/>
        <v>0.80047732721267895</v>
      </c>
      <c r="L85" s="71">
        <f t="shared" si="50"/>
        <v>0.18794464316447682</v>
      </c>
      <c r="M85" s="66">
        <v>4</v>
      </c>
      <c r="N85" s="14" t="str">
        <f>$D$77</f>
        <v>45.865653434725225</v>
      </c>
      <c r="O85" s="14" t="str">
        <f>$E$77</f>
        <v>10.769936872465212</v>
      </c>
      <c r="P85" s="14"/>
      <c r="Q85" s="70">
        <f t="shared" si="51"/>
        <v>0.80050666601460085</v>
      </c>
      <c r="R85" s="71">
        <f t="shared" si="52"/>
        <v>0.18797085865645838</v>
      </c>
      <c r="S85" s="66">
        <v>4</v>
      </c>
      <c r="T85" s="14" t="str">
        <f>$D$76</f>
        <v>45.86279198661917</v>
      </c>
      <c r="U85" s="14" t="str">
        <f>$E$76</f>
        <v>10.77400310133179</v>
      </c>
      <c r="V85" s="70">
        <f t="shared" si="53"/>
        <v>0.80045672432377446</v>
      </c>
      <c r="W85" s="71">
        <f t="shared" si="54"/>
        <v>0.18804182773831843</v>
      </c>
    </row>
    <row r="86" spans="1:23">
      <c r="C86" s="72">
        <v>5</v>
      </c>
      <c r="D86" s="73" t="str">
        <f>$D$74</f>
        <v>45.86397244519919</v>
      </c>
      <c r="E86" s="73" t="str">
        <f>$E$74</f>
        <v>10.768434835416873</v>
      </c>
      <c r="F86" s="74">
        <f t="shared" si="47"/>
        <v>0.80047732721267895</v>
      </c>
      <c r="G86" s="75">
        <f t="shared" si="48"/>
        <v>0.18794464316447682</v>
      </c>
      <c r="H86" s="72">
        <v>5</v>
      </c>
      <c r="I86" s="73" t="str">
        <f>$D$77</f>
        <v>45.865653434725225</v>
      </c>
      <c r="J86" s="73" t="str">
        <f>$E$77</f>
        <v>10.769936872465212</v>
      </c>
      <c r="K86" s="74">
        <f t="shared" si="49"/>
        <v>0.80050666601460085</v>
      </c>
      <c r="L86" s="75">
        <f t="shared" si="50"/>
        <v>0.18797085865645838</v>
      </c>
      <c r="M86" s="72">
        <v>5</v>
      </c>
      <c r="N86" s="73" t="str">
        <f>$D$76</f>
        <v>45.86279198661917</v>
      </c>
      <c r="O86" s="73" t="str">
        <f>$E$76</f>
        <v>10.77400310133179</v>
      </c>
      <c r="P86" s="73"/>
      <c r="Q86" s="74">
        <f t="shared" si="51"/>
        <v>0.80045672432377446</v>
      </c>
      <c r="R86" s="75">
        <f t="shared" si="52"/>
        <v>0.18804182773831843</v>
      </c>
      <c r="S86" s="72">
        <v>5</v>
      </c>
      <c r="T86" s="73" t="str">
        <f>$D$75</f>
        <v>45.86198507645879</v>
      </c>
      <c r="U86" s="73" t="str">
        <f>$E$75</f>
        <v>10.773563219053347</v>
      </c>
      <c r="V86" s="74">
        <f t="shared" si="53"/>
        <v>0.80044264108470775</v>
      </c>
      <c r="W86" s="75">
        <f t="shared" si="54"/>
        <v>0.18803415034423915</v>
      </c>
    </row>
    <row r="87" spans="1:23">
      <c r="U87" s="20"/>
    </row>
    <row r="88" spans="1:23">
      <c r="T88" s="22"/>
      <c r="U88" s="20"/>
    </row>
    <row r="89" spans="1:23">
      <c r="A89" s="105" t="s">
        <v>58</v>
      </c>
      <c r="B89" s="105"/>
      <c r="C89" s="105"/>
      <c r="D89" s="105"/>
      <c r="T89" s="22"/>
      <c r="U89" s="20"/>
    </row>
    <row r="90" spans="1:23">
      <c r="A90" s="20" t="s">
        <v>46</v>
      </c>
      <c r="B90" s="14">
        <v>6378137</v>
      </c>
      <c r="C90" s="20" t="s">
        <v>47</v>
      </c>
      <c r="D90" s="21" t="s">
        <v>48</v>
      </c>
      <c r="T90" s="22"/>
      <c r="U90" s="20"/>
    </row>
    <row r="91" spans="1:23">
      <c r="A91" s="20" t="s">
        <v>49</v>
      </c>
      <c r="B91" s="14">
        <f>B90-B90/B92</f>
        <v>6356752.3142451793</v>
      </c>
      <c r="C91" s="20" t="s">
        <v>47</v>
      </c>
      <c r="D91" s="21" t="s">
        <v>50</v>
      </c>
      <c r="T91" s="22"/>
      <c r="U91" s="20"/>
    </row>
    <row r="92" spans="1:23">
      <c r="A92" s="20" t="s">
        <v>51</v>
      </c>
      <c r="B92" s="76">
        <v>298.25722356300003</v>
      </c>
      <c r="D92" s="21" t="s">
        <v>52</v>
      </c>
      <c r="T92" s="22"/>
      <c r="U92" s="20"/>
    </row>
    <row r="93" spans="1:23">
      <c r="A93" s="20" t="s">
        <v>53</v>
      </c>
      <c r="B93" s="20">
        <f>SQRT((3*B90^2+B91^2)/4)</f>
        <v>6372797.5559594007</v>
      </c>
      <c r="C93" s="20" t="s">
        <v>47</v>
      </c>
      <c r="D93" s="21" t="s">
        <v>54</v>
      </c>
    </row>
    <row r="96" spans="1:23">
      <c r="B96"/>
      <c r="C96"/>
      <c r="D96"/>
      <c r="E96"/>
    </row>
    <row r="97" spans="1:5">
      <c r="A97" s="20" t="s">
        <v>159</v>
      </c>
      <c r="B97" s="20" t="s">
        <v>100</v>
      </c>
      <c r="C97" s="20" t="s">
        <v>101</v>
      </c>
      <c r="D97" s="21" t="s">
        <v>130</v>
      </c>
      <c r="E97" s="21" t="s">
        <v>131</v>
      </c>
    </row>
    <row r="98" spans="1:5">
      <c r="B98" s="59" t="s">
        <v>57</v>
      </c>
      <c r="C98" s="59" t="s">
        <v>57</v>
      </c>
      <c r="D98" s="68" t="s">
        <v>56</v>
      </c>
      <c r="E98" s="68" t="s">
        <v>56</v>
      </c>
    </row>
    <row r="99" spans="1:5">
      <c r="A99" s="20">
        <v>1</v>
      </c>
      <c r="B99" s="14" t="str">
        <f t="shared" ref="B99:C103" si="55">IF($B$65=$C$69,D73,IF($B$65=$H$69,I73,IF($B$65=$M$69,N73,IF($B$65=$S$69,T73,IF($B$65=$C$78,D82,IF($B$65=$H$78,I82,IF($B$65=$M$78,N82,IF($B$65=$S$78,T82))))))))</f>
        <v>45.8629937123294</v>
      </c>
      <c r="C99" s="14" t="str">
        <f t="shared" si="55"/>
        <v>10.768091512662966</v>
      </c>
      <c r="D99" s="70">
        <f t="shared" ref="D99:E99" si="56">B99*PI()/180</f>
        <v>0.80046024510160507</v>
      </c>
      <c r="E99" s="70">
        <f t="shared" si="56"/>
        <v>0.18793865105202429</v>
      </c>
    </row>
    <row r="100" spans="1:5">
      <c r="A100" s="20">
        <v>2</v>
      </c>
      <c r="B100" s="14" t="str">
        <f t="shared" si="55"/>
        <v>45.86397244519919</v>
      </c>
      <c r="C100" s="14" t="str">
        <f t="shared" si="55"/>
        <v>10.768434835416873</v>
      </c>
      <c r="D100" s="70">
        <f t="shared" ref="D100:D103" si="57">B100*PI()/180</f>
        <v>0.80047732721267895</v>
      </c>
      <c r="E100" s="70">
        <f t="shared" ref="E100:E103" si="58">C100*PI()/180</f>
        <v>0.18794464316447682</v>
      </c>
    </row>
    <row r="101" spans="1:5">
      <c r="A101" s="20">
        <v>3</v>
      </c>
      <c r="B101" s="14" t="str">
        <f t="shared" si="55"/>
        <v>45.86198507645879</v>
      </c>
      <c r="C101" s="14" t="str">
        <f t="shared" si="55"/>
        <v>10.773563219053347</v>
      </c>
      <c r="D101" s="70">
        <f t="shared" si="57"/>
        <v>0.80044264108470775</v>
      </c>
      <c r="E101" s="70">
        <f t="shared" si="58"/>
        <v>0.18803415034423915</v>
      </c>
    </row>
    <row r="102" spans="1:5">
      <c r="A102" s="20">
        <v>4</v>
      </c>
      <c r="B102" s="14" t="str">
        <f t="shared" si="55"/>
        <v>45.86279198661917</v>
      </c>
      <c r="C102" s="14" t="str">
        <f t="shared" si="55"/>
        <v>10.77400310133179</v>
      </c>
      <c r="D102" s="70">
        <f t="shared" si="57"/>
        <v>0.80045672432377446</v>
      </c>
      <c r="E102" s="70">
        <f t="shared" si="58"/>
        <v>0.18804182773831843</v>
      </c>
    </row>
    <row r="103" spans="1:5">
      <c r="A103" s="20">
        <v>5</v>
      </c>
      <c r="B103" s="14" t="str">
        <f t="shared" si="55"/>
        <v>45.865653434725225</v>
      </c>
      <c r="C103" s="14" t="str">
        <f t="shared" si="55"/>
        <v>10.769936872465212</v>
      </c>
      <c r="D103" s="70">
        <f t="shared" si="57"/>
        <v>0.80050666601460085</v>
      </c>
      <c r="E103" s="70">
        <f t="shared" si="58"/>
        <v>0.18797085865645838</v>
      </c>
    </row>
    <row r="107" spans="1:5">
      <c r="A107" s="77" t="s">
        <v>103</v>
      </c>
      <c r="B107" s="77" t="s">
        <v>104</v>
      </c>
      <c r="C107" s="78" t="s">
        <v>105</v>
      </c>
      <c r="D107" s="79" t="s">
        <v>132</v>
      </c>
      <c r="E107" s="68" t="s">
        <v>106</v>
      </c>
    </row>
    <row r="108" spans="1:5">
      <c r="A108" s="20" t="s">
        <v>56</v>
      </c>
      <c r="B108" s="20" t="s">
        <v>56</v>
      </c>
      <c r="C108" s="20" t="s">
        <v>56</v>
      </c>
      <c r="D108" s="21" t="s">
        <v>57</v>
      </c>
      <c r="E108" s="21" t="s">
        <v>47</v>
      </c>
    </row>
    <row r="109" spans="1:5">
      <c r="A109" s="80">
        <f>LN(TAN(D101/2+PI()/4)/TAN(D100/2+PI()/4))</f>
        <v>-4.9809434762199512E-5</v>
      </c>
      <c r="B109" s="80">
        <f>E101-E100</f>
        <v>8.9507179762332578E-5</v>
      </c>
      <c r="C109" s="14">
        <f>IF(PI()/2-ATAN2(B109,A109)&lt;0,PI()/2-ATAN2(B109,A109)+2*PI(),PI()/2-ATAN2(B109,A109))</f>
        <v>2.0786050583325277</v>
      </c>
      <c r="D109" s="70">
        <f>C109*180/PI()</f>
        <v>119.09529711699813</v>
      </c>
      <c r="E109" s="41">
        <f>$B$93*ACOS(SIN(D100)*SIN(D101)+COS(D100)*COS(D101)*COS(E100-E101))</f>
        <v>454.58398048560514</v>
      </c>
    </row>
    <row r="111" spans="1:5">
      <c r="A111" s="77" t="s">
        <v>110</v>
      </c>
      <c r="B111" s="77" t="s">
        <v>109</v>
      </c>
      <c r="C111" s="78" t="s">
        <v>108</v>
      </c>
      <c r="D111" s="79" t="s">
        <v>133</v>
      </c>
      <c r="E111" s="68" t="s">
        <v>107</v>
      </c>
    </row>
    <row r="112" spans="1:5">
      <c r="A112" s="20" t="s">
        <v>56</v>
      </c>
      <c r="B112" s="20" t="s">
        <v>56</v>
      </c>
      <c r="C112" s="20" t="s">
        <v>56</v>
      </c>
      <c r="D112" s="21" t="s">
        <v>57</v>
      </c>
      <c r="E112" s="21" t="s">
        <v>47</v>
      </c>
    </row>
    <row r="113" spans="1:8">
      <c r="A113" s="80">
        <f>LN(TAN(D102/2+PI()/4)/TAN(D101/2+PI()/4))</f>
        <v>2.0223379527065854E-5</v>
      </c>
      <c r="B113" s="80">
        <f>E102-E101</f>
        <v>7.6773940792806972E-6</v>
      </c>
      <c r="C113" s="14">
        <f>IF(PI()/2-ATAN2(B113,A113)&lt;0,PI()/2-ATAN2(B113,A113)+2*PI(),PI()/2-ATAN2(B113,A113))</f>
        <v>0.36282333296813385</v>
      </c>
      <c r="D113" s="70">
        <f>C113*180/PI()</f>
        <v>20.788245687943849</v>
      </c>
      <c r="E113" s="41">
        <f>$B$93*ACOS(SIN(D101)*SIN(D102)+COS(D101)*COS(D102)*COS(E101-E102))</f>
        <v>95.999292857861391</v>
      </c>
    </row>
    <row r="115" spans="1:8">
      <c r="A115" s="77" t="s">
        <v>139</v>
      </c>
      <c r="B115" s="77" t="s">
        <v>140</v>
      </c>
      <c r="C115" s="78" t="s">
        <v>129</v>
      </c>
      <c r="D115" s="79" t="s">
        <v>136</v>
      </c>
      <c r="E115" s="68" t="s">
        <v>141</v>
      </c>
    </row>
    <row r="116" spans="1:8">
      <c r="A116" s="20" t="s">
        <v>56</v>
      </c>
      <c r="B116" s="20" t="s">
        <v>56</v>
      </c>
      <c r="C116" s="20" t="s">
        <v>56</v>
      </c>
      <c r="D116" s="21" t="s">
        <v>57</v>
      </c>
      <c r="E116" s="21" t="s">
        <v>47</v>
      </c>
    </row>
    <row r="117" spans="1:8">
      <c r="A117" s="80">
        <f>LN(TAN(D103/2+PI()/4)/TAN(D102/2+PI()/4))</f>
        <v>7.1718095919529067E-5</v>
      </c>
      <c r="B117" s="80">
        <f>E103-E102</f>
        <v>-7.0969081860050576E-5</v>
      </c>
      <c r="C117" s="14">
        <f>IF(PI()/2-ATAN2(B117,A117)&lt;0,PI()/2-ATAN2(B117,A117)+2*PI(),PI()/2-ATAN2(B117,A117))</f>
        <v>5.5030364394189375</v>
      </c>
      <c r="D117" s="70">
        <f>C117*180/PI()</f>
        <v>315.30076248540502</v>
      </c>
      <c r="E117" s="41">
        <f>$B$93*ACOS(SIN(D102)*SIN(D103)+COS(D102)*COS(D103)*COS(E102-E103))</f>
        <v>447.75511634798431</v>
      </c>
      <c r="H117" s="21"/>
    </row>
    <row r="119" spans="1:8">
      <c r="A119" s="77" t="s">
        <v>111</v>
      </c>
      <c r="B119" s="77" t="s">
        <v>112</v>
      </c>
      <c r="C119" s="78" t="s">
        <v>113</v>
      </c>
      <c r="D119" s="79" t="s">
        <v>134</v>
      </c>
      <c r="E119" s="68" t="s">
        <v>114</v>
      </c>
    </row>
    <row r="120" spans="1:8">
      <c r="A120" s="20" t="s">
        <v>56</v>
      </c>
      <c r="B120" s="20" t="s">
        <v>56</v>
      </c>
      <c r="C120" s="20" t="s">
        <v>56</v>
      </c>
      <c r="D120" s="21" t="s">
        <v>57</v>
      </c>
      <c r="E120" s="21" t="s">
        <v>47</v>
      </c>
    </row>
    <row r="121" spans="1:8">
      <c r="A121" s="80">
        <f>LN(TAN(D103/2+PI()/4)/TAN(D100/2+PI()/4))</f>
        <v>4.2132040684501621E-5</v>
      </c>
      <c r="B121" s="80">
        <f>E103-E100</f>
        <v>2.62154919815627E-5</v>
      </c>
      <c r="C121" s="14">
        <f>IF(PI()/2-ATAN2(B121,A121)&lt;0,PI()/2-ATAN2(B121,A121)+2*PI(),PI()/2-ATAN2(B121,A121))</f>
        <v>0.55659931801184848</v>
      </c>
      <c r="D121" s="70">
        <f>C121*180/PI()</f>
        <v>31.89079180193886</v>
      </c>
      <c r="E121" s="41">
        <f>$B$93*ACOS(SIN(D100)*SIN(D103)+COS(D100)*COS(D103)*COS(E100-E103))</f>
        <v>220.20939378414508</v>
      </c>
    </row>
    <row r="123" spans="1:8">
      <c r="A123" s="77"/>
      <c r="B123" s="77"/>
      <c r="C123" s="78" t="s">
        <v>115</v>
      </c>
      <c r="D123" s="79" t="s">
        <v>135</v>
      </c>
      <c r="E123" s="68"/>
    </row>
    <row r="124" spans="1:8">
      <c r="C124" s="20" t="s">
        <v>56</v>
      </c>
      <c r="D124" s="21" t="s">
        <v>57</v>
      </c>
    </row>
    <row r="125" spans="1:8">
      <c r="C125" s="14">
        <f>IF(C117+PI()&gt;2*PI(),C117+PI()-2*PI(),C117+PI())</f>
        <v>2.3614437858291453</v>
      </c>
      <c r="D125" s="14">
        <f>C125*180/PI()</f>
        <v>135.3007624854051</v>
      </c>
    </row>
    <row r="127" spans="1:8">
      <c r="A127" s="20" t="s">
        <v>62</v>
      </c>
      <c r="B127" s="39">
        <f>'DATI CAMERA E ROTTA'!B56</f>
        <v>17</v>
      </c>
      <c r="C127" s="20" t="s">
        <v>47</v>
      </c>
    </row>
    <row r="128" spans="1:8">
      <c r="A128" s="78" t="s">
        <v>118</v>
      </c>
      <c r="B128" s="14">
        <f>D109+180-D113</f>
        <v>278.3070514290543</v>
      </c>
      <c r="C128" s="20" t="s">
        <v>55</v>
      </c>
      <c r="D128" s="70">
        <f>B128*PI()/180</f>
        <v>4.8573743789541872</v>
      </c>
      <c r="E128" s="21" t="s">
        <v>56</v>
      </c>
    </row>
    <row r="129" spans="1:24">
      <c r="A129" s="20" t="s">
        <v>119</v>
      </c>
      <c r="B129" s="39">
        <f>ABS(B127/SIN(D128))</f>
        <v>17.180254967743831</v>
      </c>
      <c r="C129" s="20" t="s">
        <v>47</v>
      </c>
    </row>
    <row r="130" spans="1:24">
      <c r="A130" s="78" t="s">
        <v>120</v>
      </c>
      <c r="B130" s="14">
        <f>D121-D109</f>
        <v>-87.204505315059265</v>
      </c>
      <c r="C130" s="20" t="s">
        <v>55</v>
      </c>
      <c r="D130" s="70">
        <f>B130*PI()/180</f>
        <v>-1.5220057403206793</v>
      </c>
      <c r="E130" s="21" t="s">
        <v>56</v>
      </c>
    </row>
    <row r="131" spans="1:24">
      <c r="A131" s="20" t="s">
        <v>121</v>
      </c>
      <c r="B131" s="39">
        <f>ABS(B127/SIN(D130))</f>
        <v>17.020254520946903</v>
      </c>
      <c r="C131" s="20" t="s">
        <v>47</v>
      </c>
    </row>
    <row r="132" spans="1:24">
      <c r="A132" s="20" t="s">
        <v>122</v>
      </c>
      <c r="B132" s="14">
        <f>PI()-(C121-C109)</f>
        <v>4.6635983939104726</v>
      </c>
      <c r="C132" s="20" t="s">
        <v>56</v>
      </c>
    </row>
    <row r="133" spans="1:24">
      <c r="A133" s="20" t="s">
        <v>123</v>
      </c>
      <c r="B133" s="14">
        <f>C125-C109</f>
        <v>0.28283872749661754</v>
      </c>
      <c r="C133" s="20" t="s">
        <v>56</v>
      </c>
    </row>
    <row r="134" spans="1:24">
      <c r="A134" s="20" t="s">
        <v>128</v>
      </c>
      <c r="B134" s="14">
        <f>C113-C109</f>
        <v>-1.7157817253643939</v>
      </c>
      <c r="C134" s="20" t="s">
        <v>56</v>
      </c>
    </row>
    <row r="135" spans="1:24">
      <c r="A135" s="20" t="s">
        <v>127</v>
      </c>
      <c r="B135" s="14">
        <f>C109-C125</f>
        <v>-0.28283872749661754</v>
      </c>
      <c r="C135" s="20" t="s">
        <v>56</v>
      </c>
    </row>
    <row r="137" spans="1:24">
      <c r="K137" s="105" t="s">
        <v>156</v>
      </c>
      <c r="L137" s="105"/>
      <c r="M137" s="105"/>
      <c r="N137" s="105"/>
      <c r="O137" s="105"/>
      <c r="P137" s="105"/>
      <c r="Q137" s="105"/>
      <c r="R137" s="105"/>
    </row>
    <row r="138" spans="1:24">
      <c r="A138" s="20" t="s">
        <v>102</v>
      </c>
      <c r="B138" s="20" t="s">
        <v>99</v>
      </c>
      <c r="C138" s="20" t="s">
        <v>126</v>
      </c>
      <c r="D138" s="21" t="s">
        <v>137</v>
      </c>
      <c r="E138" s="21" t="s">
        <v>138</v>
      </c>
      <c r="F138" s="20" t="s">
        <v>116</v>
      </c>
      <c r="G138" s="20" t="s">
        <v>117</v>
      </c>
      <c r="H138" s="20" t="s">
        <v>124</v>
      </c>
      <c r="I138" s="20" t="s">
        <v>125</v>
      </c>
      <c r="K138" s="78" t="s">
        <v>154</v>
      </c>
      <c r="L138" s="78" t="s">
        <v>155</v>
      </c>
      <c r="M138" s="78" t="s">
        <v>150</v>
      </c>
      <c r="N138" s="78" t="s">
        <v>150</v>
      </c>
      <c r="O138" s="20" t="s">
        <v>153</v>
      </c>
      <c r="P138" s="20" t="s">
        <v>292</v>
      </c>
      <c r="Q138" s="20" t="s">
        <v>151</v>
      </c>
      <c r="R138" s="20" t="s">
        <v>152</v>
      </c>
      <c r="T138" s="20" t="s">
        <v>263</v>
      </c>
      <c r="V138" s="39"/>
      <c r="W138" s="55"/>
      <c r="X138" s="55"/>
    </row>
    <row r="139" spans="1:24">
      <c r="D139" s="68" t="s">
        <v>56</v>
      </c>
      <c r="E139" s="68" t="s">
        <v>56</v>
      </c>
      <c r="F139" s="59" t="s">
        <v>57</v>
      </c>
      <c r="G139" s="59" t="s">
        <v>57</v>
      </c>
      <c r="H139" s="20" t="s">
        <v>47</v>
      </c>
      <c r="I139" s="20" t="s">
        <v>47</v>
      </c>
      <c r="K139" s="20" t="s">
        <v>56</v>
      </c>
      <c r="L139" s="20" t="s">
        <v>56</v>
      </c>
      <c r="M139" s="20" t="s">
        <v>56</v>
      </c>
      <c r="N139" s="20" t="s">
        <v>57</v>
      </c>
      <c r="O139" s="20" t="s">
        <v>47</v>
      </c>
      <c r="Q139" s="20" t="s">
        <v>47</v>
      </c>
      <c r="R139" s="20" t="s">
        <v>47</v>
      </c>
      <c r="T139" s="20" t="s">
        <v>47</v>
      </c>
      <c r="V139" s="41"/>
      <c r="W139"/>
      <c r="X139"/>
    </row>
    <row r="140" spans="1:24">
      <c r="B140" s="20">
        <v>1</v>
      </c>
      <c r="D140" s="70">
        <f t="shared" ref="D140:E142" si="59">D99</f>
        <v>0.80046024510160507</v>
      </c>
      <c r="E140" s="70">
        <f t="shared" si="59"/>
        <v>0.18793865105202429</v>
      </c>
      <c r="F140" s="14">
        <f t="shared" ref="F140:G142" si="60">D140*180/PI()</f>
        <v>45.862993712329398</v>
      </c>
      <c r="G140" s="14">
        <f t="shared" si="60"/>
        <v>10.768091512662901</v>
      </c>
      <c r="P140" s="20">
        <f>IF(B140&lt;ROTTE!$B$1,B140,"")</f>
        <v>1</v>
      </c>
      <c r="Q140" s="20">
        <v>0</v>
      </c>
      <c r="R140" s="20">
        <v>0</v>
      </c>
      <c r="V140" s="21"/>
      <c r="X140"/>
    </row>
    <row r="141" spans="1:24">
      <c r="A141" s="20">
        <v>1</v>
      </c>
      <c r="B141" s="20">
        <v>2</v>
      </c>
      <c r="D141" s="70">
        <f t="shared" si="59"/>
        <v>0.80047732721267895</v>
      </c>
      <c r="E141" s="70">
        <f t="shared" si="59"/>
        <v>0.18794464316447682</v>
      </c>
      <c r="F141" s="14">
        <f t="shared" si="60"/>
        <v>45.86397244519911</v>
      </c>
      <c r="G141" s="14">
        <f t="shared" si="60"/>
        <v>10.7684348354168</v>
      </c>
      <c r="K141" s="14">
        <f>IF(ROTTE!C30&lt;&gt;"",LN(TAN(D141/2+PI()/4)/TAN($D$140/2+PI()/4)),"")</f>
        <v>2.453021035135268E-5</v>
      </c>
      <c r="L141" s="14">
        <f>IF(ROTTE!D30&lt;&gt;"",E141-$E$140,"")</f>
        <v>5.9921124525297298E-6</v>
      </c>
      <c r="M141" s="14">
        <f>IF(K141="","",IF(L141=0,PI()/2,ATAN2(L141,K141)))</f>
        <v>1.3312132947487632</v>
      </c>
      <c r="N141" s="70">
        <f>IF(K141="","",M141*180/PI())</f>
        <v>76.272903420809001</v>
      </c>
      <c r="O141" s="39">
        <f>IF(K141="","",$B$93*ACOS(SIN($D$140)*SIN(D141)+COS($D$140)*COS(D141)*COS($E$140-E141)))</f>
        <v>112.06165637910441</v>
      </c>
      <c r="P141" s="20">
        <f>IF(B141&lt;ROTTE!$B$1,B141,"")</f>
        <v>2</v>
      </c>
      <c r="Q141" s="39">
        <f>IF(K141="",NA(),O141*COS(M141))</f>
        <v>26.59196087443507</v>
      </c>
      <c r="R141" s="39">
        <f>IF(K141="",NA(),O141*SIN(M141))</f>
        <v>108.8608398244336</v>
      </c>
      <c r="T141" s="39">
        <f t="shared" ref="T141:T204" si="61">IF(_xlfn.IFNA(Q141,0)=0,0,SQRT((Q141-Q140)^2+(R141-R140)^2))</f>
        <v>112.06165637910442</v>
      </c>
      <c r="V141" s="30"/>
      <c r="W141"/>
      <c r="X141"/>
    </row>
    <row r="142" spans="1:24">
      <c r="A142" s="20">
        <v>1</v>
      </c>
      <c r="B142" s="20">
        <v>3</v>
      </c>
      <c r="D142" s="70">
        <f t="shared" si="59"/>
        <v>0.80044264108470775</v>
      </c>
      <c r="E142" s="70">
        <f t="shared" si="59"/>
        <v>0.18803415034423915</v>
      </c>
      <c r="F142" s="14">
        <f t="shared" si="60"/>
        <v>45.861985076458701</v>
      </c>
      <c r="G142" s="14">
        <f>E142*180/PI()</f>
        <v>10.773563219053298</v>
      </c>
      <c r="K142" s="14">
        <f>IF(ROTTE!C31&lt;&gt;"",LN(TAN(D142/2+PI()/4)/TAN($D$140/2+PI()/4)),"")</f>
        <v>-2.5279224410800523E-5</v>
      </c>
      <c r="L142" s="14">
        <f>IF(ROTTE!D31&lt;&gt;"",E142-$E$140,"")</f>
        <v>9.5499292214862308E-5</v>
      </c>
      <c r="M142" s="14">
        <f t="shared" ref="M142:M205" si="62">IF(K142="","",IF(L142=0,PI()/2,ATAN2(L142,K142)))</f>
        <v>-0.25877089197332698</v>
      </c>
      <c r="N142" s="70">
        <f t="shared" ref="N142:N166" si="63">IF(K142="","",M142*180/PI())</f>
        <v>-14.826479970907386</v>
      </c>
      <c r="O142" s="39">
        <f t="shared" ref="O142:O166" si="64">IF(K142="","",$B$93*ACOS(SIN($D$140)*SIN(D142)+COS($D$140)*COS(D142)*COS($E$140-E142)))</f>
        <v>438.41382848688602</v>
      </c>
      <c r="P142" s="20">
        <f>IF(B142&lt;ROTTE!$B$1,B142,"")</f>
        <v>3</v>
      </c>
      <c r="Q142" s="39">
        <f t="shared" ref="Q142:Q167" si="65">IF(K142="",NA(),O142*COS(M142))</f>
        <v>423.81693996397269</v>
      </c>
      <c r="R142" s="39">
        <f t="shared" ref="R142:R167" si="66">IF(K142="",NA(),O142*SIN(M142))</f>
        <v>-112.1868370536539</v>
      </c>
      <c r="T142" s="39">
        <f t="shared" si="61"/>
        <v>454.58746074422572</v>
      </c>
    </row>
    <row r="143" spans="1:24">
      <c r="A143" s="20">
        <v>2</v>
      </c>
      <c r="B143" s="20">
        <v>4</v>
      </c>
      <c r="C143" s="80">
        <f>$B$129*(A143-1)/$B$93</f>
        <v>2.6958733298656321E-6</v>
      </c>
      <c r="D143" s="70">
        <f>IF(I143&gt;=0,ASIN(SIN($D$101)*COS(C143)+COS($D$101)*SIN(C143)*COS($C$113)),ASIN(SIN($D$102)*COS(ABS(I143)*SIN($B$134)/SIN($B$135)/$B$93)+COS($D$102)*SIN(ABS(I143)*SIN($B$134)/SIN($B$135)/$B$93)*COS($C$117)))</f>
        <v>0.80044516145218847</v>
      </c>
      <c r="E143" s="70">
        <f>IF(I143&gt;=0,$E$101+ATAN2(COS(C143)-SIN($D$101)*SIN(D143),SIN($C$113)*SIN(C143)*COS($D$101)),$E$102+ATAN2(COS(ABS(I143)*SIN($B$134)/SIN($B$135)/$B$93)-SIN($D$102)*SIN(D143),SIN($C$117)*SIN(ABS(I143)*SIN($B$134)/SIN($B$135)/$B$93)*COS($D$102)))</f>
        <v>0.18803552430144768</v>
      </c>
      <c r="F143" s="14">
        <f t="shared" ref="F143:G145" si="67">D143*180/PI()</f>
        <v>45.862129482878174</v>
      </c>
      <c r="G143" s="14">
        <f t="shared" si="67"/>
        <v>10.77364194100258</v>
      </c>
      <c r="H143" s="39">
        <f>C143*$B$93</f>
        <v>17.180254967743831</v>
      </c>
      <c r="I143" s="39">
        <f>$E$113-H143</f>
        <v>78.819037890117556</v>
      </c>
      <c r="K143" s="14">
        <f>IF(ROTTE!C32&lt;&gt;"",LN(TAN(D143/2+PI()/4)/TAN($D$140/2+PI()/4)),"")</f>
        <v>-2.1660025433988526E-5</v>
      </c>
      <c r="L143" s="14">
        <f>IF(ROTTE!D32&lt;&gt;"",E143-$E$140,"")</f>
        <v>9.6873249423395924E-5</v>
      </c>
      <c r="M143" s="14">
        <f t="shared" si="62"/>
        <v>-0.21997331255678587</v>
      </c>
      <c r="N143" s="70">
        <f t="shared" si="63"/>
        <v>-12.603542415015946</v>
      </c>
      <c r="O143" s="39">
        <f t="shared" si="64"/>
        <v>440.52917772685777</v>
      </c>
      <c r="P143" s="20">
        <f>IF(B143&lt;ROTTE!$B$1,B143,"")</f>
        <v>4</v>
      </c>
      <c r="Q143" s="39">
        <f t="shared" si="65"/>
        <v>429.91386638407607</v>
      </c>
      <c r="R143" s="39">
        <f t="shared" si="66"/>
        <v>-96.125043143793803</v>
      </c>
      <c r="T143" s="39">
        <f t="shared" si="61"/>
        <v>17.18003886418694</v>
      </c>
    </row>
    <row r="144" spans="1:24">
      <c r="A144" s="20">
        <v>2</v>
      </c>
      <c r="B144" s="20">
        <v>5</v>
      </c>
      <c r="C144" s="80">
        <f>$B$131*(A144-1)/$B$93</f>
        <v>2.6707665466370784E-6</v>
      </c>
      <c r="D144" s="70">
        <f>IF(I144&gt;=0,ASIN(SIN($D$100)*COS(C144)+COS($D$100)*SIN(C144)*COS($C$121)),ASIN(SIN($D$103)*COS(ABS(I144)*SIN($B$132)/SIN($B$133)/$B$93)+COS($D$103)*SIN(ABS(I144)*SIN($B$132)/SIN($B$133)/$B$93)*COS($C$125)))</f>
        <v>0.80047959484362663</v>
      </c>
      <c r="E144" s="70">
        <f>IF(I144&gt;=0,$E$100+ATAN2(COS(C144)-SIN($D$100)*SIN(D144),SIN($C$121)*SIN(C144)*COS($D$100)),$E$103+ATAN2(COS(ABS(I144)*SIN($B$132)/SIN($B$133)/$B$93)-SIN($D$103)*SIN(D144),SIN($C$125)*SIN(ABS(I144)*SIN($B$132)/SIN($B$133)/$B$93)*COS($D$103)))</f>
        <v>0.18794666936609672</v>
      </c>
      <c r="F144" s="14">
        <f t="shared" si="67"/>
        <v>45.864102370881902</v>
      </c>
      <c r="G144" s="14">
        <f t="shared" si="67"/>
        <v>10.76855092821806</v>
      </c>
      <c r="H144" s="39">
        <f t="shared" ref="H144:H207" si="68">C144*$B$93</f>
        <v>17.020254520946903</v>
      </c>
      <c r="I144" s="39">
        <f>$E$121-H144</f>
        <v>203.18913926319817</v>
      </c>
      <c r="K144" s="14">
        <f>IF(ROTTE!C33&lt;&gt;"",LN(TAN(D144/2+PI()/4)/TAN($D$140/2+PI()/4)),"")</f>
        <v>2.7786600533183594E-5</v>
      </c>
      <c r="L144" s="14">
        <f>IF(ROTTE!D33&lt;&gt;"",E144-$E$140,"")</f>
        <v>8.0183140724332524E-6</v>
      </c>
      <c r="M144" s="14">
        <f t="shared" si="62"/>
        <v>1.2898606428525949</v>
      </c>
      <c r="N144" s="70">
        <f t="shared" si="63"/>
        <v>73.903570995484912</v>
      </c>
      <c r="O144" s="39">
        <f t="shared" si="64"/>
        <v>128.34349569003632</v>
      </c>
      <c r="P144" s="20">
        <f>IF(B144&lt;ROTTE!$B$1,B144,"")</f>
        <v>5</v>
      </c>
      <c r="Q144" s="39">
        <f t="shared" si="65"/>
        <v>35.583846583745121</v>
      </c>
      <c r="R144" s="39">
        <f t="shared" si="66"/>
        <v>123.31197325581512</v>
      </c>
      <c r="T144" s="39">
        <f t="shared" si="61"/>
        <v>451.27460451712949</v>
      </c>
    </row>
    <row r="145" spans="1:20">
      <c r="A145" s="20">
        <f>A143+1</f>
        <v>3</v>
      </c>
      <c r="B145" s="20">
        <v>6</v>
      </c>
      <c r="C145" s="80">
        <f>$B$131*(A145-1)/$B$93</f>
        <v>5.3415330932741567E-6</v>
      </c>
      <c r="D145" s="70">
        <f>IF(I145&gt;=0,ASIN(SIN($D$100)*COS(C145)+COS($D$100)*SIN(C145)*COS($C$121)),ASIN(SIN($D$103)*COS(ABS(I145)*SIN($B$132)/SIN($B$133)/$B$93)+COS($D$103)*SIN(ABS(I145)*SIN($B$132)/SIN($B$133)/$B$93)*COS($C$125)))</f>
        <v>0.80048186247252251</v>
      </c>
      <c r="E145" s="70">
        <f>IF(I145&gt;=0,$E$100+ATAN2(COS(C145)-SIN($D$100)*SIN(D145),SIN($C$121)*SIN(C145)*COS($D$100)),$E$103+ATAN2(COS(ABS(I145)*SIN($B$132)/SIN($B$133)/$B$93)-SIN($D$103)*SIN(D145),SIN($C$125)*SIN(ABS(I145)*SIN($B$132)/SIN($B$133)/$B$93)*COS($D$103)))</f>
        <v>0.18794869557718744</v>
      </c>
      <c r="F145" s="14">
        <f t="shared" si="67"/>
        <v>45.864232296447142</v>
      </c>
      <c r="G145" s="14">
        <f t="shared" si="67"/>
        <v>10.768667021561964</v>
      </c>
      <c r="H145" s="39">
        <f t="shared" si="68"/>
        <v>34.040509041893806</v>
      </c>
      <c r="I145" s="39">
        <f>$E$121-H145</f>
        <v>186.16888474225127</v>
      </c>
      <c r="K145" s="14">
        <f>IF(ROTTE!C34&lt;&gt;"",LN(TAN(D145/2+PI()/4)/TAN($D$140/2+PI()/4)),"")</f>
        <v>3.1042995379173256E-5</v>
      </c>
      <c r="L145" s="14">
        <f>IF(ROTTE!D34&lt;&gt;"",E145-$E$140,"")</f>
        <v>1.0044525163149798E-5</v>
      </c>
      <c r="M145" s="14">
        <f t="shared" si="62"/>
        <v>1.2578600148034051</v>
      </c>
      <c r="N145" s="70">
        <f t="shared" si="63"/>
        <v>72.07007006649836</v>
      </c>
      <c r="O145" s="39">
        <f t="shared" si="64"/>
        <v>144.79528791344563</v>
      </c>
      <c r="P145" s="20">
        <f>IF(B145&lt;ROTTE!$B$1,B145,"")</f>
        <v>6</v>
      </c>
      <c r="Q145" s="39">
        <f t="shared" si="65"/>
        <v>44.575760176227931</v>
      </c>
      <c r="R145" s="39">
        <f t="shared" si="66"/>
        <v>137.76311918161923</v>
      </c>
      <c r="T145" s="39">
        <f t="shared" si="61"/>
        <v>17.020285797352578</v>
      </c>
    </row>
    <row r="146" spans="1:20">
      <c r="A146" s="20">
        <f>A145</f>
        <v>3</v>
      </c>
      <c r="B146" s="20">
        <v>7</v>
      </c>
      <c r="C146" s="80">
        <f>$B$129*(A146-1)/$B$93</f>
        <v>5.3917466597312642E-6</v>
      </c>
      <c r="D146" s="70">
        <f>IF(I146&gt;=0,ASIN(SIN($D$101)*COS(C146)+COS($D$101)*SIN(C146)*COS($C$113)),ASIN(SIN($D$102)*COS(ABS(I146)*SIN($B$134)/SIN($B$135)/$B$93)+COS($D$102)*SIN(ABS(I146)*SIN($B$134)/SIN($B$135)/$B$93)*COS($C$117)))</f>
        <v>0.8004476818187255</v>
      </c>
      <c r="E146" s="70">
        <f>IF(I146&gt;=0,$E$101+ATAN2(COS(C146)-SIN($D$101)*SIN(D146),SIN($C$113)*SIN(C146)*COS($D$101)),$E$102+ATAN2(COS(ABS(I146)*SIN($B$134)/SIN($B$135)/$B$93)-SIN($D$102)*SIN(D146),SIN($C$117)*SIN(ABS(I146)*SIN($B$134)/SIN($B$135)/$B$93)*COS($D$102)))</f>
        <v>0.18803689826579364</v>
      </c>
      <c r="F146" s="14">
        <f t="shared" ref="F146:F149" si="69">D146*180/PI()</f>
        <v>45.862273889243575</v>
      </c>
      <c r="G146" s="14">
        <f t="shared" ref="G146:G149" si="70">E146*180/PI()</f>
        <v>10.773720663360804</v>
      </c>
      <c r="H146" s="39">
        <f t="shared" si="68"/>
        <v>34.360509935487663</v>
      </c>
      <c r="I146" s="39">
        <f>$E$113-H146</f>
        <v>61.638782922373728</v>
      </c>
      <c r="K146" s="14">
        <f>IF(ROTTE!C35&lt;&gt;"",LN(TAN(D146/2+PI()/4)/TAN($D$140/2+PI()/4)),"")</f>
        <v>-1.8040818411373441E-5</v>
      </c>
      <c r="L146" s="14">
        <f>IF(ROTTE!D35&lt;&gt;"",E146-$E$140,"")</f>
        <v>9.8247213769359076E-5</v>
      </c>
      <c r="M146" s="14">
        <f t="shared" si="62"/>
        <v>-0.18160365314231061</v>
      </c>
      <c r="N146" s="70">
        <f t="shared" si="63"/>
        <v>-10.405122869212109</v>
      </c>
      <c r="O146" s="39">
        <f t="shared" si="64"/>
        <v>443.30076577020935</v>
      </c>
      <c r="P146" s="20">
        <f>IF(B146&lt;ROTTE!$B$1,B146,"")</f>
        <v>7</v>
      </c>
      <c r="Q146" s="39">
        <f t="shared" si="65"/>
        <v>436.01082941321039</v>
      </c>
      <c r="R146" s="39">
        <f t="shared" si="66"/>
        <v>-80.063259781614931</v>
      </c>
      <c r="T146" s="39">
        <f t="shared" si="61"/>
        <v>447.9617671194672</v>
      </c>
    </row>
    <row r="147" spans="1:20">
      <c r="A147" s="20">
        <f>A145+1</f>
        <v>4</v>
      </c>
      <c r="B147" s="20">
        <v>8</v>
      </c>
      <c r="C147" s="80">
        <f>$B$129*(A147-1)/$B$93</f>
        <v>8.0876199895968955E-6</v>
      </c>
      <c r="D147" s="70">
        <f>IF(I147&gt;=0,ASIN(SIN($D$101)*COS(C147)+COS($D$101)*SIN(C147)*COS($C$113)),ASIN(SIN($D$102)*COS(ABS(I147)*SIN($B$134)/SIN($B$135)/$B$93)+COS($D$102)*SIN(ABS(I147)*SIN($B$134)/SIN($B$135)/$B$93)*COS($C$117)))</f>
        <v>0.80045020218431906</v>
      </c>
      <c r="E147" s="70">
        <f>IF(I147&gt;=0,$E$101+ATAN2(COS(C147)-SIN($D$101)*SIN(D147),SIN($C$113)*SIN(C147)*COS($D$101)),$E$102+ATAN2(COS(ABS(I147)*SIN($B$134)/SIN($B$135)/$B$93)-SIN($D$102)*SIN(D147),SIN($C$117)*SIN(ABS(I147)*SIN($B$134)/SIN($B$135)/$B$93)*COS($D$102)))</f>
        <v>0.18803827223727704</v>
      </c>
      <c r="F147" s="14">
        <f t="shared" si="69"/>
        <v>45.862418295554917</v>
      </c>
      <c r="G147" s="14">
        <f t="shared" si="70"/>
        <v>10.773799386127974</v>
      </c>
      <c r="H147" s="39">
        <f t="shared" si="68"/>
        <v>51.540764903231491</v>
      </c>
      <c r="I147" s="39">
        <f>$E$113-H147</f>
        <v>44.458527954629901</v>
      </c>
      <c r="K147" s="14">
        <f>IF(ROTTE!C36&lt;&gt;"",LN(TAN(D147/2+PI()/4)/TAN($D$140/2+PI()/4)),"")</f>
        <v>-1.4421603343312077E-5</v>
      </c>
      <c r="L147" s="14">
        <f>IF(ROTTE!D36&lt;&gt;"",E147-$E$140,"")</f>
        <v>9.9621185252751765E-5</v>
      </c>
      <c r="M147" s="14">
        <f t="shared" si="62"/>
        <v>-0.14376568743360971</v>
      </c>
      <c r="N147" s="70">
        <f t="shared" si="63"/>
        <v>-8.2371671287428114</v>
      </c>
      <c r="O147" s="39">
        <f t="shared" si="64"/>
        <v>446.7163377910357</v>
      </c>
      <c r="P147" s="20">
        <f>IF(B147&lt;ROTTE!$B$1,B147,"")</f>
        <v>8</v>
      </c>
      <c r="Q147" s="39">
        <f t="shared" si="65"/>
        <v>442.10778908497133</v>
      </c>
      <c r="R147" s="39">
        <f t="shared" si="66"/>
        <v>-64.001478731613616</v>
      </c>
      <c r="T147" s="39">
        <f t="shared" si="61"/>
        <v>17.180038641902431</v>
      </c>
    </row>
    <row r="148" spans="1:20">
      <c r="A148" s="20">
        <f>A147</f>
        <v>4</v>
      </c>
      <c r="B148" s="20">
        <v>9</v>
      </c>
      <c r="C148" s="80">
        <f>$B$131*(A148-1)/$B$93</f>
        <v>8.0122996399112351E-6</v>
      </c>
      <c r="D148" s="70">
        <f>IF(I148&gt;=0,ASIN(SIN($D$100)*COS(C148)+COS($D$100)*SIN(C148)*COS($C$121)),ASIN(SIN($D$103)*COS(ABS(I148)*SIN($B$132)/SIN($B$133)/$B$93)+COS($D$103)*SIN(ABS(I148)*SIN($B$132)/SIN($B$133)/$B$93)*COS($C$125)))</f>
        <v>0.80048413009936659</v>
      </c>
      <c r="E148" s="70">
        <f>IF(I148&gt;=0,$E$100+ATAN2(COS(C148)-SIN($D$100)*SIN(D148),SIN($C$121)*SIN(C148)*COS($D$100)),$E$103+ATAN2(COS(ABS(I148)*SIN($B$132)/SIN($B$133)/$B$93)-SIN($D$103)*SIN(D148),SIN($C$125)*SIN(ABS(I148)*SIN($B$132)/SIN($B$133)/$B$93)*COS($D$103)))</f>
        <v>0.18795072179774905</v>
      </c>
      <c r="F148" s="14">
        <f t="shared" si="69"/>
        <v>45.864362221894815</v>
      </c>
      <c r="G148" s="14">
        <f t="shared" si="70"/>
        <v>10.768783115448505</v>
      </c>
      <c r="H148" s="39">
        <f t="shared" si="68"/>
        <v>51.060763562840705</v>
      </c>
      <c r="I148" s="39">
        <f>$E$121-H148</f>
        <v>169.14863022130436</v>
      </c>
      <c r="K148" s="14">
        <f>IF(ROTTE!C37&lt;&gt;"",LN(TAN(D148/2+PI()/4)/TAN($D$140/2+PI()/4)),"")</f>
        <v>3.4299394889907684E-5</v>
      </c>
      <c r="L148" s="14">
        <f>IF(ROTTE!D37&lt;&gt;"",E148-$E$140,"")</f>
        <v>1.2070745724762633E-5</v>
      </c>
      <c r="M148" s="14">
        <f t="shared" si="62"/>
        <v>1.2324094011382778</v>
      </c>
      <c r="N148" s="70">
        <f t="shared" si="63"/>
        <v>70.611857317468591</v>
      </c>
      <c r="O148" s="39">
        <f t="shared" si="64"/>
        <v>161.36505934901029</v>
      </c>
      <c r="P148" s="20">
        <f>IF(B148&lt;ROTTE!$B$1,B148,"")</f>
        <v>9</v>
      </c>
      <c r="Q148" s="39">
        <f t="shared" si="65"/>
        <v>53.567701281315813</v>
      </c>
      <c r="R148" s="39">
        <f t="shared" si="66"/>
        <v>152.21426923302997</v>
      </c>
      <c r="T148" s="39">
        <f t="shared" si="61"/>
        <v>444.64890587786516</v>
      </c>
    </row>
    <row r="149" spans="1:20">
      <c r="A149" s="20">
        <f>A147+1</f>
        <v>5</v>
      </c>
      <c r="B149" s="20">
        <v>10</v>
      </c>
      <c r="C149" s="80">
        <f>$B$131*(A149-1)/$B$93</f>
        <v>1.0683066186548313E-5</v>
      </c>
      <c r="D149" s="70">
        <f>IF(I149&gt;=0,ASIN(SIN($D$100)*COS(C149)+COS($D$100)*SIN(C149)*COS($C$121)),ASIN(SIN($D$103)*COS(ABS(I149)*SIN($B$132)/SIN($B$133)/$B$93)+COS($D$103)*SIN(ABS(I149)*SIN($B$132)/SIN($B$133)/$B$93)*COS($C$125)))</f>
        <v>0.80048639772415853</v>
      </c>
      <c r="E149" s="70">
        <f>IF(I149&gt;=0,$E$100+ATAN2(COS(C149)-SIN($D$100)*SIN(D149),SIN($C$121)*SIN(C149)*COS($D$100)),$E$103+ATAN2(COS(ABS(I149)*SIN($B$132)/SIN($B$133)/$B$93)-SIN($D$103)*SIN(D149),SIN($C$125)*SIN(ABS(I149)*SIN($B$132)/SIN($B$133)/$B$93)*COS($D$103)))</f>
        <v>0.18795274802778161</v>
      </c>
      <c r="F149" s="14">
        <f t="shared" si="69"/>
        <v>45.864492147224915</v>
      </c>
      <c r="G149" s="14">
        <f t="shared" si="70"/>
        <v>10.768899209877693</v>
      </c>
      <c r="H149" s="39">
        <f t="shared" si="68"/>
        <v>68.081018083787612</v>
      </c>
      <c r="I149" s="39">
        <f>$E$121-H149</f>
        <v>152.12837570035748</v>
      </c>
      <c r="K149" s="14">
        <f>IF(ROTTE!C38&lt;&gt;"",LN(TAN(D149/2+PI()/4)/TAN($D$140/2+PI()/4)),"")</f>
        <v>3.7555799063752525E-5</v>
      </c>
      <c r="L149" s="14">
        <f>IF(ROTTE!D38&lt;&gt;"",E149-$E$140,"")</f>
        <v>1.4096975757327268E-5</v>
      </c>
      <c r="M149" s="14">
        <f t="shared" si="62"/>
        <v>1.2117093534622179</v>
      </c>
      <c r="N149" s="70">
        <f t="shared" si="63"/>
        <v>69.425831949910773</v>
      </c>
      <c r="O149" s="39">
        <f t="shared" si="64"/>
        <v>178.01979317597073</v>
      </c>
      <c r="P149" s="20">
        <f>IF(B149&lt;ROTTE!$B$1,B149,"")</f>
        <v>10</v>
      </c>
      <c r="Q149" s="39">
        <f t="shared" si="65"/>
        <v>62.559642339017564</v>
      </c>
      <c r="R149" s="39">
        <f t="shared" si="66"/>
        <v>166.66534706659809</v>
      </c>
      <c r="T149" s="39">
        <f t="shared" si="61"/>
        <v>17.020242493484822</v>
      </c>
    </row>
    <row r="150" spans="1:20">
      <c r="A150" s="20">
        <f>A149</f>
        <v>5</v>
      </c>
      <c r="B150" s="20">
        <v>11</v>
      </c>
      <c r="C150" s="80">
        <f>$B$129*(A150-1)/$B$93</f>
        <v>1.0783493319462528E-5</v>
      </c>
      <c r="D150" s="70">
        <f>IF(I150&gt;=0,ASIN(SIN($D$101)*COS(C150)+COS($D$101)*SIN(C150)*COS($C$113)),ASIN(SIN($D$102)*COS(ABS(I150)*SIN($B$134)/SIN($B$135)/$B$93)+COS($D$102)*SIN(ABS(I150)*SIN($B$134)/SIN($B$135)/$B$93)*COS($C$117)))</f>
        <v>0.80045272254896949</v>
      </c>
      <c r="E150" s="70">
        <f>IF(I150&gt;=0,$E$101+ATAN2(COS(C150)-SIN($D$101)*SIN(D150),SIN($C$113)*SIN(C150)*COS($D$101)),$E$102+ATAN2(COS(ABS(I150)*SIN($B$134)/SIN($B$135)/$B$93)-SIN($D$102)*SIN(D150),SIN($C$117)*SIN(ABS(I150)*SIN($B$134)/SIN($B$135)/$B$93)*COS($D$102)))</f>
        <v>0.18803964621589797</v>
      </c>
      <c r="F150" s="14">
        <f t="shared" ref="F150:F211" si="71">D150*180/PI()</f>
        <v>45.862562701812209</v>
      </c>
      <c r="G150" s="14">
        <f t="shared" ref="G150:G211" si="72">E150*180/PI()</f>
        <v>10.773878109304096</v>
      </c>
      <c r="H150" s="39">
        <f t="shared" si="68"/>
        <v>68.721019870975326</v>
      </c>
      <c r="I150" s="39">
        <f>$E$113-H150</f>
        <v>27.278272986886066</v>
      </c>
      <c r="K150" s="14">
        <f>IF(ROTTE!C39&lt;&gt;"",LN(TAN(D150/2+PI()/4)/TAN($D$140/2+PI()/4)),"")</f>
        <v>-1.080238022916203E-5</v>
      </c>
      <c r="L150" s="14">
        <f>IF(ROTTE!D39&lt;&gt;"",E150-$E$140,"")</f>
        <v>1.0099516387368501E-4</v>
      </c>
      <c r="M150" s="14">
        <f t="shared" si="62"/>
        <v>-0.10655427547853137</v>
      </c>
      <c r="N150" s="70">
        <f t="shared" si="63"/>
        <v>-6.1051102739941676</v>
      </c>
      <c r="O150" s="39">
        <f t="shared" si="64"/>
        <v>450.76127497457725</v>
      </c>
      <c r="P150" s="20">
        <f>IF(B150&lt;ROTTE!$B$1,B150,"")</f>
        <v>11</v>
      </c>
      <c r="Q150" s="39">
        <f t="shared" si="65"/>
        <v>448.20476544054111</v>
      </c>
      <c r="R150" s="39">
        <f t="shared" si="66"/>
        <v>-47.939704349275672</v>
      </c>
      <c r="T150" s="39">
        <f t="shared" si="61"/>
        <v>441.33602738185681</v>
      </c>
    </row>
    <row r="151" spans="1:20">
      <c r="A151" s="20">
        <f>A149+1</f>
        <v>6</v>
      </c>
      <c r="B151" s="20">
        <v>12</v>
      </c>
      <c r="C151" s="80">
        <f>$B$129*(A151-1)/$B$93</f>
        <v>1.3479366649328161E-5</v>
      </c>
      <c r="D151" s="70">
        <f>IF(I151&gt;=0,ASIN(SIN($D$101)*COS(C151)+COS($D$101)*SIN(C151)*COS($C$113)),ASIN(SIN($D$102)*COS(ABS(I151)*SIN($B$134)/SIN($B$135)/$B$93)+COS($D$102)*SIN(ABS(I151)*SIN($B$134)/SIN($B$135)/$B$93)*COS($C$117)))</f>
        <v>0.80045524291267622</v>
      </c>
      <c r="E151" s="70">
        <f>IF(I151&gt;=0,$E$101+ATAN2(COS(C151)-SIN($D$101)*SIN(D151),SIN($C$113)*SIN(C151)*COS($D$101)),$E$102+ATAN2(COS(ABS(I151)*SIN($B$134)/SIN($B$135)/$B$93)-SIN($D$102)*SIN(D151),SIN($C$117)*SIN(ABS(I151)*SIN($B$134)/SIN($B$135)/$B$93)*COS($D$102)))</f>
        <v>0.18804102020165653</v>
      </c>
      <c r="F151" s="14">
        <f t="shared" si="71"/>
        <v>45.862707108015449</v>
      </c>
      <c r="G151" s="14">
        <f t="shared" si="72"/>
        <v>10.773956832889171</v>
      </c>
      <c r="H151" s="39">
        <f t="shared" si="68"/>
        <v>85.901274838719161</v>
      </c>
      <c r="I151" s="39">
        <f>$E$113-H151</f>
        <v>10.098018019142231</v>
      </c>
      <c r="K151" s="14">
        <f>IF(ROTTE!C40&lt;&gt;"",LN(TAN(D151/2+PI()/4)/TAN($D$140/2+PI()/4)),"")</f>
        <v>-7.1831490696131874E-6</v>
      </c>
      <c r="L151" s="14">
        <f>IF(ROTTE!D40&lt;&gt;"",E151-$E$140,"")</f>
        <v>1.0236914963224208E-4</v>
      </c>
      <c r="M151" s="14">
        <f t="shared" si="62"/>
        <v>-7.005425538910659E-2</v>
      </c>
      <c r="N151" s="70">
        <f t="shared" si="63"/>
        <v>-4.0138131707274107</v>
      </c>
      <c r="O151" s="39">
        <f t="shared" si="64"/>
        <v>455.41882774923363</v>
      </c>
      <c r="P151" s="20">
        <f>IF(B151&lt;ROTTE!$B$1,B151,"")</f>
        <v>12</v>
      </c>
      <c r="Q151" s="39">
        <f t="shared" si="65"/>
        <v>454.30177827415173</v>
      </c>
      <c r="R151" s="39">
        <f t="shared" si="66"/>
        <v>-31.877937910561467</v>
      </c>
      <c r="T151" s="39">
        <f t="shared" si="61"/>
        <v>17.180043848169266</v>
      </c>
    </row>
    <row r="152" spans="1:20">
      <c r="A152" s="20">
        <f>A151</f>
        <v>6</v>
      </c>
      <c r="B152" s="20">
        <v>13</v>
      </c>
      <c r="C152" s="80">
        <f>$B$131*(A152-1)/$B$93</f>
        <v>1.3353832733185393E-5</v>
      </c>
      <c r="D152" s="70">
        <f>IF(I152&gt;=0,ASIN(SIN($D$100)*COS(C152)+COS($D$100)*SIN(C152)*COS($C$121)),ASIN(SIN($D$103)*COS(ABS(I152)*SIN($B$132)/SIN($B$133)/$B$93)+COS($D$103)*SIN(ABS(I152)*SIN($B$132)/SIN($B$133)/$B$93)*COS($C$125)))</f>
        <v>0.80048866534689878</v>
      </c>
      <c r="E152" s="70">
        <f>IF(I152&gt;=0,$E$100+ATAN2(COS(C152)-SIN($D$100)*SIN(D152),SIN($C$121)*SIN(C152)*COS($D$100)),$E$103+ATAN2(COS(ABS(I152)*SIN($B$132)/SIN($B$133)/$B$93)-SIN($D$103)*SIN(D152),SIN($C$125)*SIN(ABS(I152)*SIN($B$132)/SIN($B$133)/$B$93)*COS($D$103)))</f>
        <v>0.18795477426728527</v>
      </c>
      <c r="F152" s="14">
        <f t="shared" si="71"/>
        <v>45.864622072437456</v>
      </c>
      <c r="G152" s="14">
        <f t="shared" si="72"/>
        <v>10.769015304849535</v>
      </c>
      <c r="H152" s="39">
        <f t="shared" si="68"/>
        <v>85.101272604734518</v>
      </c>
      <c r="I152" s="39">
        <f>$E$121-H152</f>
        <v>135.10812117941055</v>
      </c>
      <c r="K152" s="14">
        <f>IF(ROTTE!C41&lt;&gt;"",LN(TAN(D152/2+PI()/4)/TAN($D$140/2+PI()/4)),"")</f>
        <v>4.0812207901737867E-5</v>
      </c>
      <c r="L152" s="14">
        <f>IF(ROTTE!D41&lt;&gt;"",E152-$E$140,"")</f>
        <v>1.6123215260982482E-5</v>
      </c>
      <c r="M152" s="14">
        <f t="shared" si="62"/>
        <v>1.1945569894786134</v>
      </c>
      <c r="N152" s="70">
        <f t="shared" si="63"/>
        <v>68.443073884978034</v>
      </c>
      <c r="O152" s="39">
        <f t="shared" si="64"/>
        <v>194.73780743181621</v>
      </c>
      <c r="P152" s="20">
        <f>IF(B152&lt;ROTTE!$B$1,B152,"")</f>
        <v>13</v>
      </c>
      <c r="Q152" s="39">
        <f t="shared" si="65"/>
        <v>71.551628537414018</v>
      </c>
      <c r="R152" s="39">
        <f t="shared" si="66"/>
        <v>181.11647660275156</v>
      </c>
      <c r="T152" s="39">
        <f t="shared" si="61"/>
        <v>438.02317032020602</v>
      </c>
    </row>
    <row r="153" spans="1:20">
      <c r="A153" s="20">
        <f>A151+1</f>
        <v>7</v>
      </c>
      <c r="B153" s="20">
        <v>14</v>
      </c>
      <c r="C153" s="80">
        <f>$B$131*(A153-1)/$B$93</f>
        <v>1.602459927982247E-5</v>
      </c>
      <c r="D153" s="70">
        <f>IF(I153&gt;=0,ASIN(SIN($D$100)*COS(C153)+COS($D$100)*SIN(C153)*COS($C$121)),ASIN(SIN($D$103)*COS(ABS(I153)*SIN($B$132)/SIN($B$133)/$B$93)+COS($D$103)*SIN(ABS(I153)*SIN($B$132)/SIN($B$133)/$B$93)*COS($C$125)))</f>
        <v>0.80049093296758711</v>
      </c>
      <c r="E153" s="70">
        <f>IF(I153&gt;=0,$E$100+ATAN2(COS(C153)-SIN($D$100)*SIN(D153),SIN($C$121)*SIN(C153)*COS($D$100)),$E$103+ATAN2(COS(ABS(I153)*SIN($B$132)/SIN($B$133)/$B$93)-SIN($D$103)*SIN(D153),SIN($C$125)*SIN(ABS(I153)*SIN($B$132)/SIN($B$133)/$B$93)*COS($D$103)))</f>
        <v>0.18795680051626001</v>
      </c>
      <c r="F153" s="14">
        <f t="shared" ref="F153" si="73">D153*180/PI()</f>
        <v>45.864751997532437</v>
      </c>
      <c r="G153" s="14">
        <f t="shared" ref="G153" si="74">E153*180/PI()</f>
        <v>10.769131400364031</v>
      </c>
      <c r="H153" s="39">
        <f t="shared" si="68"/>
        <v>102.12152712568141</v>
      </c>
      <c r="I153" s="39">
        <f>$E$121-H153</f>
        <v>118.08786665846367</v>
      </c>
      <c r="K153" s="14">
        <f>IF(ROTTE!C42&lt;&gt;"",LN(TAN(D153/2+PI()/4)/TAN($D$140/2+PI()/4)),"")</f>
        <v>4.4068621403339537E-5</v>
      </c>
      <c r="L153" s="14">
        <f>IF(ROTTE!D42&lt;&gt;"",E153-$E$140,"")</f>
        <v>1.8149464235728274E-5</v>
      </c>
      <c r="M153" s="14">
        <f t="shared" si="62"/>
        <v>1.1801201878009824</v>
      </c>
      <c r="N153" s="70">
        <f t="shared" si="63"/>
        <v>67.615906079182395</v>
      </c>
      <c r="O153" s="39">
        <f t="shared" si="64"/>
        <v>211.50401166152315</v>
      </c>
      <c r="P153" s="20">
        <f>IF(B153&lt;ROTTE!$B$1,B153,"")</f>
        <v>14</v>
      </c>
      <c r="Q153" s="39">
        <f t="shared" si="65"/>
        <v>80.543624241550972</v>
      </c>
      <c r="R153" s="39">
        <f t="shared" si="66"/>
        <v>195.56756260421503</v>
      </c>
      <c r="T153" s="39">
        <f t="shared" si="61"/>
        <v>17.020278298691558</v>
      </c>
    </row>
    <row r="154" spans="1:20">
      <c r="A154" s="20">
        <f>A153</f>
        <v>7</v>
      </c>
      <c r="B154" s="20">
        <v>15</v>
      </c>
      <c r="C154" s="80">
        <f>$B$129*(A154-1)/$B$93</f>
        <v>1.6175239979193791E-5</v>
      </c>
      <c r="D154" s="70">
        <f>IF(I154&gt;=0,ASIN(SIN($D$101)*COS(C154)+COS($D$101)*SIN(C154)*COS($C$113)),ASIN(SIN($D$102)*COS(ABS(I154)*SIN($B$134)/SIN($B$135)/$B$93)+COS($D$102)*SIN(ABS(I154)*SIN($B$134)/SIN($B$135)/$B$93)*COS($C$117)))</f>
        <v>0.8004595251033122</v>
      </c>
      <c r="E154" s="70">
        <f>IF(I154&gt;=0,$E$101+ATAN2(COS(C154)-SIN($D$101)*SIN(D154),SIN($C$113)*SIN(C154)*COS($D$101)),$E$102+ATAN2(COS(ABS(I154)*SIN($B$134)/SIN($B$135)/$B$93)-SIN($D$102)*SIN(D154),SIN($C$117)*SIN(ABS(I154)*SIN($B$134)/SIN($B$135)/$B$93)*COS($D$102)))</f>
        <v>0.18803784780715693</v>
      </c>
      <c r="F154" s="14">
        <f t="shared" si="71"/>
        <v>45.862952459465959</v>
      </c>
      <c r="G154" s="14">
        <f t="shared" si="72"/>
        <v>10.773775068073395</v>
      </c>
      <c r="H154" s="39">
        <f t="shared" si="68"/>
        <v>103.08152980646298</v>
      </c>
      <c r="I154" s="39">
        <f>$E$113-H154</f>
        <v>-7.0822369486015901</v>
      </c>
      <c r="K154" s="14">
        <f>IF(ROTTE!C43&lt;&gt;"",LN(TAN(D154/2+PI()/4)/TAN($D$140/2+PI()/4)),"")</f>
        <v>-1.0339206602327794E-6</v>
      </c>
      <c r="L154" s="14">
        <f>IF(ROTTE!D43&lt;&gt;"",E154-$E$140,"")</f>
        <v>9.9196755132646697E-5</v>
      </c>
      <c r="M154" s="14">
        <f t="shared" si="62"/>
        <v>-1.0422550822975194E-2</v>
      </c>
      <c r="N154" s="70">
        <f t="shared" si="63"/>
        <v>-0.59716817391708144</v>
      </c>
      <c r="O154" s="39">
        <f t="shared" si="64"/>
        <v>440.24600190065132</v>
      </c>
      <c r="P154" s="20">
        <f>IF(B154&lt;ROTTE!$B$1,B154,"")</f>
        <v>15</v>
      </c>
      <c r="Q154" s="39">
        <f t="shared" si="65"/>
        <v>440.22209025112738</v>
      </c>
      <c r="R154" s="39">
        <f t="shared" si="66"/>
        <v>-4.5884032556595553</v>
      </c>
      <c r="T154" s="39">
        <f t="shared" si="61"/>
        <v>411.61998199832487</v>
      </c>
    </row>
    <row r="155" spans="1:20">
      <c r="A155" s="20">
        <f>A153+1</f>
        <v>8</v>
      </c>
      <c r="B155" s="20">
        <v>16</v>
      </c>
      <c r="C155" s="80">
        <f>$B$129*(A155-1)/$B$93</f>
        <v>1.8871113309059424E-5</v>
      </c>
      <c r="D155" s="70">
        <f>IF(I155&gt;=0,ASIN(SIN($D$101)*COS(C155)+COS($D$101)*SIN(C155)*COS($C$113)),ASIN(SIN($D$102)*COS(ABS(I155)*SIN($B$134)/SIN($B$135)/$B$93)+COS($D$102)*SIN(ABS(I155)*SIN($B$134)/SIN($B$135)/$B$93)*COS($C$117)))</f>
        <v>0.80046631926650536</v>
      </c>
      <c r="E155" s="70">
        <f>IF(I155&gt;=0,$E$101+ATAN2(COS(C155)-SIN($D$101)*SIN(D155),SIN($C$113)*SIN(C155)*COS($D$101)),$E$102+ATAN2(COS(ABS(I155)*SIN($B$134)/SIN($B$135)/$B$93)-SIN($D$102)*SIN(D155),SIN($C$117)*SIN(ABS(I155)*SIN($B$134)/SIN($B$135)/$B$93)*COS($D$102)))</f>
        <v>0.18802819310218968</v>
      </c>
      <c r="F155" s="14">
        <f t="shared" si="71"/>
        <v>45.863341736342257</v>
      </c>
      <c r="G155" s="14">
        <f t="shared" si="72"/>
        <v>10.773221894226326</v>
      </c>
      <c r="H155" s="39">
        <f t="shared" si="68"/>
        <v>120.26178477420682</v>
      </c>
      <c r="I155" s="39">
        <f>$E$113-H155</f>
        <v>-24.262491916345425</v>
      </c>
      <c r="K155" s="14">
        <f>IF(ROTTE!C44&lt;&gt;"",LN(TAN(D155/2+PI()/4)/TAN($D$140/2+PI()/4)),"")</f>
        <v>8.7225575855037211E-6</v>
      </c>
      <c r="L155" s="14">
        <f>IF(ROTTE!D44&lt;&gt;"",E155-$E$140,"")</f>
        <v>8.9542050165397624E-5</v>
      </c>
      <c r="M155" s="14">
        <f t="shared" si="62"/>
        <v>9.7106591965317943E-2</v>
      </c>
      <c r="N155" s="70">
        <f t="shared" si="63"/>
        <v>5.5637978825117083</v>
      </c>
      <c r="O155" s="39">
        <f t="shared" si="64"/>
        <v>399.25535058052219</v>
      </c>
      <c r="P155" s="20">
        <f>IF(B155&lt;ROTTE!$B$1,B155,"")</f>
        <v>16</v>
      </c>
      <c r="Q155" s="39">
        <f t="shared" si="65"/>
        <v>397.37440220708186</v>
      </c>
      <c r="R155" s="39">
        <f t="shared" si="66"/>
        <v>38.7094231129837</v>
      </c>
      <c r="T155" s="39">
        <f t="shared" si="61"/>
        <v>60.914909004028083</v>
      </c>
    </row>
    <row r="156" spans="1:20">
      <c r="A156" s="20">
        <f>A155</f>
        <v>8</v>
      </c>
      <c r="B156" s="20">
        <v>17</v>
      </c>
      <c r="C156" s="80">
        <f>$B$131*(A156-1)/$B$93</f>
        <v>1.8695365826459549E-5</v>
      </c>
      <c r="D156" s="70">
        <f>IF(I156&gt;=0,ASIN(SIN($D$100)*COS(C156)+COS($D$100)*SIN(C156)*COS($C$121)),ASIN(SIN($D$103)*COS(ABS(I156)*SIN($B$132)/SIN($B$133)/$B$93)+COS($D$103)*SIN(ABS(I156)*SIN($B$132)/SIN($B$133)/$B$93)*COS($C$125)))</f>
        <v>0.80049320058622375</v>
      </c>
      <c r="E156" s="70">
        <f>IF(I156&gt;=0,$E$100+ATAN2(COS(C156)-SIN($D$100)*SIN(D156),SIN($C$121)*SIN(C156)*COS($D$100)),$E$103+ATAN2(COS(ABS(I156)*SIN($B$132)/SIN($B$133)/$B$93)-SIN($D$103)*SIN(D156),SIN($C$125)*SIN(ABS(I156)*SIN($B$132)/SIN($B$133)/$B$93)*COS($D$103)))</f>
        <v>0.18795882677470599</v>
      </c>
      <c r="F156" s="14">
        <f t="shared" ref="F156:F157" si="75">D156*180/PI()</f>
        <v>45.864881922509859</v>
      </c>
      <c r="G156" s="14">
        <f t="shared" ref="G156:G157" si="76">E156*180/PI()</f>
        <v>10.769247496421187</v>
      </c>
      <c r="H156" s="39">
        <f t="shared" si="68"/>
        <v>119.14178164662832</v>
      </c>
      <c r="I156" s="39">
        <f>$E$121-H156</f>
        <v>101.06761213751676</v>
      </c>
      <c r="K156" s="14">
        <f>IF(ROTTE!C45&lt;&gt;"",LN(TAN(D156/2+PI()/4)/TAN($D$140/2+PI()/4)),"")</f>
        <v>4.732503956914356E-5</v>
      </c>
      <c r="L156" s="14">
        <f>IF(ROTTE!D45&lt;&gt;"",E156-$E$140,"")</f>
        <v>2.0175722681703423E-5</v>
      </c>
      <c r="M156" s="14">
        <f t="shared" si="62"/>
        <v>1.1678061596724167</v>
      </c>
      <c r="N156" s="70">
        <f t="shared" si="63"/>
        <v>66.9103642386102</v>
      </c>
      <c r="O156" s="39">
        <f t="shared" si="64"/>
        <v>228.3078091029696</v>
      </c>
      <c r="P156" s="20">
        <f>IF(B156&lt;ROTTE!$B$1,B156,"")</f>
        <v>17</v>
      </c>
      <c r="Q156" s="39">
        <f t="shared" si="65"/>
        <v>89.535638698027967</v>
      </c>
      <c r="R156" s="39">
        <f t="shared" si="66"/>
        <v>210.018630364866</v>
      </c>
      <c r="T156" s="39">
        <f t="shared" si="61"/>
        <v>352.29469029216375</v>
      </c>
    </row>
    <row r="157" spans="1:20">
      <c r="A157" s="20">
        <f>A155+1</f>
        <v>9</v>
      </c>
      <c r="B157" s="20">
        <v>18</v>
      </c>
      <c r="C157" s="80">
        <f>$B$131*(A157-1)/$B$93</f>
        <v>2.1366132373096627E-5</v>
      </c>
      <c r="D157" s="70">
        <f>IF(I157&gt;=0,ASIN(SIN($D$100)*COS(C157)+COS($D$100)*SIN(C157)*COS($C$121)),ASIN(SIN($D$103)*COS(ABS(I157)*SIN($B$132)/SIN($B$133)/$B$93)+COS($D$103)*SIN(ABS(I157)*SIN($B$132)/SIN($B$133)/$B$93)*COS($C$125)))</f>
        <v>0.80049546820280815</v>
      </c>
      <c r="E157" s="70">
        <f>IF(I157&gt;=0,$E$100+ATAN2(COS(C157)-SIN($D$100)*SIN(D157),SIN($C$121)*SIN(C157)*COS($D$100)),$E$103+ATAN2(COS(ABS(I157)*SIN($B$132)/SIN($B$133)/$B$93)-SIN($D$103)*SIN(D157),SIN($C$125)*SIN(ABS(I157)*SIN($B$132)/SIN($B$133)/$B$93)*COS($D$103)))</f>
        <v>0.18796085304262325</v>
      </c>
      <c r="F157" s="14">
        <f t="shared" si="75"/>
        <v>45.865011847369701</v>
      </c>
      <c r="G157" s="14">
        <f t="shared" si="76"/>
        <v>10.76936359302101</v>
      </c>
      <c r="H157" s="39">
        <f t="shared" si="68"/>
        <v>136.16203616757522</v>
      </c>
      <c r="I157" s="39">
        <f>$E$121-H157</f>
        <v>84.047357616569855</v>
      </c>
      <c r="K157" s="14">
        <f>IF(ROTTE!C46&lt;&gt;"",LN(TAN(D157/2+PI()/4)/TAN($D$140/2+PI()/4)),"")</f>
        <v>5.0581462399513897E-5</v>
      </c>
      <c r="L157" s="14">
        <f>IF(ROTTE!D46&lt;&gt;"",E157-$E$140,"")</f>
        <v>2.2201990598963439E-5</v>
      </c>
      <c r="M157" s="14">
        <f t="shared" si="62"/>
        <v>1.1571817892554179</v>
      </c>
      <c r="N157" s="70">
        <f t="shared" si="63"/>
        <v>66.301632653732526</v>
      </c>
      <c r="O157" s="39">
        <f t="shared" si="64"/>
        <v>245.14148752853322</v>
      </c>
      <c r="P157" s="20">
        <f>IF(B157&lt;ROTTE!$B$1,B157,"")</f>
        <v>18</v>
      </c>
      <c r="Q157" s="39">
        <f t="shared" si="65"/>
        <v>98.527679613072294</v>
      </c>
      <c r="R157" s="39">
        <f t="shared" si="66"/>
        <v>224.46969786090457</v>
      </c>
      <c r="T157" s="39">
        <f t="shared" si="61"/>
        <v>17.02028647211597</v>
      </c>
    </row>
    <row r="158" spans="1:20">
      <c r="A158" s="20">
        <f>A157</f>
        <v>9</v>
      </c>
      <c r="B158" s="20">
        <v>19</v>
      </c>
      <c r="C158" s="80">
        <f>$B$129*(A158-1)/$B$93</f>
        <v>2.1566986638925057E-5</v>
      </c>
      <c r="D158" s="70">
        <f>IF(I158&gt;=0,ASIN(SIN($D$101)*COS(C158)+COS($D$101)*SIN(C158)*COS($C$113)),ASIN(SIN($D$102)*COS(ABS(I158)*SIN($B$134)/SIN($B$135)/$B$93)+COS($D$102)*SIN(ABS(I158)*SIN($B$134)/SIN($B$135)/$B$93)*COS($C$117)))</f>
        <v>0.80047311338311233</v>
      </c>
      <c r="E158" s="70">
        <f>IF(I158&gt;=0,$E$101+ATAN2(COS(C158)-SIN($D$101)*SIN(D158),SIN($C$113)*SIN(C158)*COS($D$101)),$E$102+ATAN2(COS(ABS(I158)*SIN($B$134)/SIN($B$135)/$B$93)-SIN($D$102)*SIN(D158),SIN($C$117)*SIN(ABS(I158)*SIN($B$134)/SIN($B$135)/$B$93)*COS($D$102)))</f>
        <v>0.18801853826201623</v>
      </c>
      <c r="F158" s="14">
        <f t="shared" si="71"/>
        <v>45.863731010549344</v>
      </c>
      <c r="G158" s="14">
        <f t="shared" si="72"/>
        <v>10.772668712632514</v>
      </c>
      <c r="H158" s="39">
        <f t="shared" si="68"/>
        <v>137.44203974195065</v>
      </c>
      <c r="I158" s="39">
        <f>$E$113-H158</f>
        <v>-41.44274688408926</v>
      </c>
      <c r="K158" s="14">
        <f>IF(ROTTE!C47&lt;&gt;"",LN(TAN(D158/2+PI()/4)/TAN($D$140/2+PI()/4)),"")</f>
        <v>1.8479037247794523E-5</v>
      </c>
      <c r="L158" s="14">
        <f>IF(ROTTE!D47&lt;&gt;"",E158-$E$140,"")</f>
        <v>7.988720999194121E-5</v>
      </c>
      <c r="M158" s="14">
        <f t="shared" si="62"/>
        <v>0.22731609602202521</v>
      </c>
      <c r="N158" s="70">
        <f t="shared" si="63"/>
        <v>13.024252917452607</v>
      </c>
      <c r="O158" s="39">
        <f t="shared" si="64"/>
        <v>363.88751788836345</v>
      </c>
      <c r="P158" s="20">
        <f>IF(B158&lt;ROTTE!$B$1,B158,"")</f>
        <v>19</v>
      </c>
      <c r="Q158" s="39">
        <f t="shared" si="65"/>
        <v>354.52642314966954</v>
      </c>
      <c r="R158" s="39">
        <f t="shared" si="66"/>
        <v>82.006956800356178</v>
      </c>
      <c r="T158" s="39">
        <f t="shared" si="61"/>
        <v>292.96926337553123</v>
      </c>
    </row>
    <row r="159" spans="1:20">
      <c r="A159" s="20">
        <f>A157+1</f>
        <v>10</v>
      </c>
      <c r="B159" s="20">
        <v>20</v>
      </c>
      <c r="C159" s="80">
        <f>$B$129*(A159-1)/$B$93</f>
        <v>2.4262859968790686E-5</v>
      </c>
      <c r="D159" s="70">
        <f>IF(I159&gt;=0,ASIN(SIN($D$101)*COS(C159)+COS($D$101)*SIN(C159)*COS($C$113)),ASIN(SIN($D$102)*COS(ABS(I159)*SIN($B$134)/SIN($B$135)/$B$93)+COS($D$102)*SIN(ABS(I159)*SIN($B$134)/SIN($B$135)/$B$93)*COS($C$117)))</f>
        <v>0.8004799074531318</v>
      </c>
      <c r="E159" s="70">
        <f>IF(I159&gt;=0,$E$101+ATAN2(COS(C159)-SIN($D$101)*SIN(D159),SIN($C$113)*SIN(C159)*COS($D$101)),$E$102+ATAN2(COS(ABS(I159)*SIN($B$134)/SIN($B$135)/$B$93)-SIN($D$102)*SIN(D159),SIN($C$117)*SIN(ABS(I159)*SIN($B$134)/SIN($B$135)/$B$93)*COS($D$102)))</f>
        <v>0.18800888328663382</v>
      </c>
      <c r="F159" s="14">
        <f t="shared" si="71"/>
        <v>45.864120282087185</v>
      </c>
      <c r="G159" s="14">
        <f t="shared" si="72"/>
        <v>10.7721155232918</v>
      </c>
      <c r="H159" s="39">
        <f t="shared" si="68"/>
        <v>154.62229470969447</v>
      </c>
      <c r="I159" s="39">
        <f>$E$113-H159</f>
        <v>-58.623001851833081</v>
      </c>
      <c r="K159" s="14">
        <f>IF(ROTTE!C48&lt;&gt;"",LN(TAN(D159/2+PI()/4)/TAN($D$140/2+PI()/4)),"")</f>
        <v>2.8235518325003357E-5</v>
      </c>
      <c r="L159" s="14">
        <f>IF(ROTTE!D48&lt;&gt;"",E159-$E$140,"")</f>
        <v>7.0232234609529653E-5</v>
      </c>
      <c r="M159" s="14">
        <f t="shared" si="62"/>
        <v>0.38225580137642406</v>
      </c>
      <c r="N159" s="70">
        <f t="shared" si="63"/>
        <v>21.901644113260183</v>
      </c>
      <c r="O159" s="39">
        <f t="shared" si="64"/>
        <v>335.92318653928101</v>
      </c>
      <c r="P159" s="20">
        <f>IF(B159&lt;ROTTE!$B$1,B159,"")</f>
        <v>20</v>
      </c>
      <c r="Q159" s="39">
        <f t="shared" si="65"/>
        <v>311.67811549726946</v>
      </c>
      <c r="R159" s="39">
        <f t="shared" si="66"/>
        <v>125.30418817731253</v>
      </c>
      <c r="T159" s="39">
        <f t="shared" si="61"/>
        <v>60.914921928739432</v>
      </c>
    </row>
    <row r="160" spans="1:20">
      <c r="A160" s="20">
        <f>A159</f>
        <v>10</v>
      </c>
      <c r="B160" s="20">
        <v>21</v>
      </c>
      <c r="C160" s="80">
        <f>$B$131*(A160-1)/$B$93</f>
        <v>2.4036898919733709E-5</v>
      </c>
      <c r="D160" s="70">
        <f>IF(I160&gt;=0,ASIN(SIN($D$100)*COS(C160)+COS($D$100)*SIN(C160)*COS($C$121)),ASIN(SIN($D$103)*COS(ABS(I160)*SIN($B$132)/SIN($B$133)/$B$93)+COS($D$103)*SIN(ABS(I160)*SIN($B$132)/SIN($B$133)/$B$93)*COS($C$125)))</f>
        <v>0.80049773581734063</v>
      </c>
      <c r="E160" s="70">
        <f>IF(I160&gt;=0,$E$100+ATAN2(COS(C160)-SIN($D$100)*SIN(D160),SIN($C$121)*SIN(C160)*COS($D$100)),$E$103+ATAN2(COS(ABS(I160)*SIN($B$132)/SIN($B$133)/$B$93)-SIN($D$103)*SIN(D160),SIN($C$125)*SIN(ABS(I160)*SIN($B$132)/SIN($B$133)/$B$93)*COS($D$103)))</f>
        <v>0.18796287932001191</v>
      </c>
      <c r="F160" s="14">
        <f t="shared" ref="F160:F161" si="77">D160*180/PI()</f>
        <v>45.865141772111969</v>
      </c>
      <c r="G160" s="14">
        <f t="shared" ref="G160:G161" si="78">E160*180/PI()</f>
        <v>10.769479690163504</v>
      </c>
      <c r="H160" s="39">
        <f t="shared" si="68"/>
        <v>153.18229068852213</v>
      </c>
      <c r="I160" s="39">
        <f>$E$121-H160</f>
        <v>67.027103095622948</v>
      </c>
      <c r="K160" s="14">
        <f>IF(ROTTE!C49&lt;&gt;"",LN(TAN(D160/2+PI()/4)/TAN($D$140/2+PI()/4)),"")</f>
        <v>5.3837889893038252E-5</v>
      </c>
      <c r="L160" s="14">
        <f>IF(ROTTE!D49&lt;&gt;"",E160-$E$140,"")</f>
        <v>2.4228267987619345E-5</v>
      </c>
      <c r="M160" s="14">
        <f t="shared" si="62"/>
        <v>1.1479235942938537</v>
      </c>
      <c r="N160" s="70">
        <f t="shared" si="63"/>
        <v>65.77117715652561</v>
      </c>
      <c r="O160" s="39">
        <f t="shared" si="64"/>
        <v>261.9992701515576</v>
      </c>
      <c r="P160" s="20">
        <f>IF(B160&lt;ROTTE!$B$1,B160,"")</f>
        <v>21</v>
      </c>
      <c r="Q160" s="39">
        <f t="shared" si="65"/>
        <v>107.51973920664912</v>
      </c>
      <c r="R160" s="39">
        <f t="shared" si="66"/>
        <v>238.92074677784476</v>
      </c>
      <c r="T160" s="39">
        <f t="shared" si="61"/>
        <v>233.64367099891814</v>
      </c>
    </row>
    <row r="161" spans="1:20">
      <c r="A161" s="20">
        <f>A159+1</f>
        <v>11</v>
      </c>
      <c r="B161" s="20">
        <v>22</v>
      </c>
      <c r="C161" s="80">
        <f>$B$131*(A161-1)/$B$93</f>
        <v>2.6707665466370787E-5</v>
      </c>
      <c r="D161" s="70">
        <f>IF(I161&gt;=0,ASIN(SIN($D$100)*COS(C161)+COS($D$100)*SIN(C161)*COS($C$121)),ASIN(SIN($D$103)*COS(ABS(I161)*SIN($B$132)/SIN($B$133)/$B$93)+COS($D$103)*SIN(ABS(I161)*SIN($B$132)/SIN($B$133)/$B$93)*COS($C$125)))</f>
        <v>0.80050000342982131</v>
      </c>
      <c r="E161" s="70">
        <f>IF(I161&gt;=0,$E$100+ATAN2(COS(C161)-SIN($D$100)*SIN(D161),SIN($C$121)*SIN(C161)*COS($D$100)),$E$103+ATAN2(COS(ABS(I161)*SIN($B$132)/SIN($B$133)/$B$93)-SIN($D$103)*SIN(D161),SIN($C$125)*SIN(ABS(I161)*SIN($B$132)/SIN($B$133)/$B$93)*COS($D$103)))</f>
        <v>0.18796490560687196</v>
      </c>
      <c r="F161" s="14">
        <f t="shared" si="77"/>
        <v>45.865271696736677</v>
      </c>
      <c r="G161" s="14">
        <f t="shared" si="78"/>
        <v>10.769595787848667</v>
      </c>
      <c r="H161" s="39">
        <f t="shared" si="68"/>
        <v>170.20254520946904</v>
      </c>
      <c r="I161" s="39">
        <f>$E$121-H161</f>
        <v>50.006848574676042</v>
      </c>
      <c r="K161" s="14">
        <f>IF(ROTTE!C50&lt;&gt;"",LN(TAN(D161/2+PI()/4)/TAN($D$140/2+PI()/4)),"")</f>
        <v>5.7094322051412793E-5</v>
      </c>
      <c r="L161" s="14">
        <f>IF(ROTTE!D50&lt;&gt;"",E161-$E$140,"")</f>
        <v>2.6254554847671141E-5</v>
      </c>
      <c r="M161" s="14">
        <f t="shared" si="62"/>
        <v>1.1397852876077283</v>
      </c>
      <c r="N161" s="70">
        <f t="shared" si="63"/>
        <v>65.30488653102752</v>
      </c>
      <c r="O161" s="39">
        <f t="shared" si="64"/>
        <v>278.87678579659456</v>
      </c>
      <c r="P161" s="20">
        <f>IF(B161&lt;ROTTE!$B$1,B161,"")</f>
        <v>22</v>
      </c>
      <c r="Q161" s="39">
        <f t="shared" si="65"/>
        <v>116.51181777611752</v>
      </c>
      <c r="R161" s="39">
        <f t="shared" si="66"/>
        <v>253.37177817338787</v>
      </c>
      <c r="T161" s="39">
        <f t="shared" si="61"/>
        <v>17.020275714407965</v>
      </c>
    </row>
    <row r="162" spans="1:20">
      <c r="A162" s="20">
        <f>A161</f>
        <v>11</v>
      </c>
      <c r="B162" s="20">
        <v>23</v>
      </c>
      <c r="C162" s="80">
        <f>$B$129*(A162-1)/$B$93</f>
        <v>2.6958733298656323E-5</v>
      </c>
      <c r="D162" s="70">
        <f>IF(I162&gt;=0,ASIN(SIN($D$101)*COS(C162)+COS($D$101)*SIN(C162)*COS($C$113)),ASIN(SIN($D$102)*COS(ABS(I162)*SIN($B$134)/SIN($B$135)/$B$93)+COS($D$102)*SIN(ABS(I162)*SIN($B$134)/SIN($B$135)/$B$93)*COS($C$117)))</f>
        <v>0.80048670147656276</v>
      </c>
      <c r="E162" s="70">
        <f>IF(I162&gt;=0,$E$101+ATAN2(COS(C162)-SIN($D$101)*SIN(D162),SIN($C$113)*SIN(C162)*COS($D$101)),$E$102+ATAN2(COS(ABS(I162)*SIN($B$134)/SIN($B$135)/$B$93)-SIN($D$102)*SIN(D162),SIN($C$117)*SIN(ABS(I162)*SIN($B$134)/SIN($B$135)/$B$93)*COS($D$102)))</f>
        <v>0.18799922817603962</v>
      </c>
      <c r="F162" s="14">
        <f t="shared" si="71"/>
        <v>45.864509550955688</v>
      </c>
      <c r="G162" s="14">
        <f t="shared" si="72"/>
        <v>10.77156232620402</v>
      </c>
      <c r="H162" s="39">
        <f t="shared" si="68"/>
        <v>171.80254967743832</v>
      </c>
      <c r="I162" s="39">
        <f>$E$113-H162</f>
        <v>-75.80325681957693</v>
      </c>
      <c r="K162" s="14">
        <f>IF(ROTTE!C51&lt;&gt;"",LN(TAN(D162/2+PI()/4)/TAN($D$140/2+PI()/4)),"")</f>
        <v>3.7992000815938074E-5</v>
      </c>
      <c r="L162" s="14">
        <f>IF(ROTTE!D51&lt;&gt;"",E162-$E$140,"")</f>
        <v>6.0577124015331885E-5</v>
      </c>
      <c r="M162" s="14">
        <f t="shared" si="62"/>
        <v>0.56015641795430526</v>
      </c>
      <c r="N162" s="70">
        <f t="shared" si="63"/>
        <v>32.094598615947859</v>
      </c>
      <c r="O162" s="39">
        <f t="shared" si="64"/>
        <v>317.32578807462119</v>
      </c>
      <c r="P162" s="20">
        <f>IF(B162&lt;ROTTE!$B$1,B162,"")</f>
        <v>23</v>
      </c>
      <c r="Q162" s="39">
        <f t="shared" si="65"/>
        <v>268.82952684740241</v>
      </c>
      <c r="R162" s="39">
        <f t="shared" si="66"/>
        <v>168.60113069662708</v>
      </c>
      <c r="T162" s="39">
        <f t="shared" si="61"/>
        <v>174.31794850317002</v>
      </c>
    </row>
    <row r="163" spans="1:20">
      <c r="A163" s="20">
        <f>A161+1</f>
        <v>12</v>
      </c>
      <c r="B163" s="20">
        <v>24</v>
      </c>
      <c r="C163" s="80">
        <f>$B$129*(A163-1)/$B$93</f>
        <v>2.9654606628521952E-5</v>
      </c>
      <c r="D163" s="70">
        <f>IF(I163&gt;=0,ASIN(SIN($D$101)*COS(C163)+COS($D$101)*SIN(C163)*COS($C$113)),ASIN(SIN($D$102)*COS(ABS(I163)*SIN($B$134)/SIN($B$135)/$B$93)+COS($D$102)*SIN(ABS(I163)*SIN($B$134)/SIN($B$135)/$B$93)*COS($C$117)))</f>
        <v>0.80049349545340343</v>
      </c>
      <c r="E163" s="70">
        <f>IF(I163&gt;=0,$E$101+ATAN2(COS(C163)-SIN($D$101)*SIN(D163),SIN($C$113)*SIN(C163)*COS($D$101)),$E$102+ATAN2(COS(ABS(I163)*SIN($B$134)/SIN($B$135)/$B$93)-SIN($D$102)*SIN(D163),SIN($C$117)*SIN(ABS(I163)*SIN($B$134)/SIN($B$135)/$B$93)*COS($D$102)))</f>
        <v>0.1879895729302308</v>
      </c>
      <c r="F163" s="14">
        <f t="shared" si="71"/>
        <v>45.864898817154774</v>
      </c>
      <c r="G163" s="14">
        <f t="shared" si="72"/>
        <v>10.771009121369012</v>
      </c>
      <c r="H163" s="39">
        <f t="shared" si="68"/>
        <v>188.98280464518214</v>
      </c>
      <c r="I163" s="39">
        <f>$E$113-H163</f>
        <v>-92.983511787320751</v>
      </c>
      <c r="K163" s="14">
        <f>IF(ROTTE!C52&lt;&gt;"",LN(TAN(D163/2+PI()/4)/TAN($D$140/2+PI()/4)),"")</f>
        <v>4.7748484717408265E-5</v>
      </c>
      <c r="L163" s="14">
        <f>IF(ROTTE!D52&lt;&gt;"",E163-$E$140,"")</f>
        <v>5.0921878206516835E-5</v>
      </c>
      <c r="M163" s="14">
        <f t="shared" si="62"/>
        <v>0.75324767845822227</v>
      </c>
      <c r="N163" s="70">
        <f t="shared" si="63"/>
        <v>43.157912903683432</v>
      </c>
      <c r="O163" s="39">
        <f t="shared" si="64"/>
        <v>309.78686897213032</v>
      </c>
      <c r="P163" s="20">
        <f>IF(B163&lt;ROTTE!$B$1,B163,"")</f>
        <v>24</v>
      </c>
      <c r="Q163" s="39">
        <f t="shared" si="65"/>
        <v>225.98062090519065</v>
      </c>
      <c r="R163" s="39">
        <f t="shared" si="66"/>
        <v>211.89776582791134</v>
      </c>
      <c r="T163" s="39">
        <f t="shared" si="61"/>
        <v>60.914918978326391</v>
      </c>
    </row>
    <row r="164" spans="1:20">
      <c r="A164" s="20">
        <f>A163</f>
        <v>12</v>
      </c>
      <c r="B164" s="20">
        <v>25</v>
      </c>
      <c r="C164" s="80">
        <f>$B$131*(A164-1)/$B$93</f>
        <v>2.9378432013007865E-5</v>
      </c>
      <c r="D164" s="70">
        <f>IF(I164&gt;=0,ASIN(SIN($D$100)*COS(C164)+COS($D$100)*SIN(C164)*COS($C$121)),ASIN(SIN($D$103)*COS(ABS(I164)*SIN($B$132)/SIN($B$133)/$B$93)+COS($D$103)*SIN(ABS(I164)*SIN($B$132)/SIN($B$133)/$B$93)*COS($C$125)))</f>
        <v>0.80050227104024974</v>
      </c>
      <c r="E164" s="70">
        <f>IF(I164&gt;=0,$E$100+ATAN2(COS(C164)-SIN($D$100)*SIN(D164),SIN($C$121)*SIN(C164)*COS($D$100)),$E$103+ATAN2(COS(ABS(I164)*SIN($B$132)/SIN($B$133)/$B$93)-SIN($D$103)*SIN(D164),SIN($C$125)*SIN(ABS(I164)*SIN($B$132)/SIN($B$133)/$B$93)*COS($D$103)))</f>
        <v>0.18796693190320357</v>
      </c>
      <c r="F164" s="14">
        <f t="shared" ref="F164:F165" si="79">D164*180/PI()</f>
        <v>45.865401621243812</v>
      </c>
      <c r="G164" s="14">
        <f t="shared" ref="G164:G165" si="80">E164*180/PI()</f>
        <v>10.769711886076511</v>
      </c>
      <c r="H164" s="39">
        <f t="shared" si="68"/>
        <v>187.22279973041594</v>
      </c>
      <c r="I164" s="39">
        <f>$E$121-H164</f>
        <v>32.986594053729135</v>
      </c>
      <c r="K164" s="14">
        <f>IF(ROTTE!C53&lt;&gt;"",LN(TAN(D164/2+PI()/4)/TAN($D$140/2+PI()/4)),"")</f>
        <v>6.0350758873003198E-5</v>
      </c>
      <c r="L164" s="14">
        <f>IF(ROTTE!D53&lt;&gt;"",E164-$E$140,"")</f>
        <v>2.828085117928536E-5</v>
      </c>
      <c r="M164" s="14">
        <f t="shared" si="62"/>
        <v>1.1325761552549749</v>
      </c>
      <c r="N164" s="70">
        <f t="shared" si="63"/>
        <v>64.891833673263534</v>
      </c>
      <c r="O164" s="39">
        <f t="shared" si="64"/>
        <v>295.77068690367656</v>
      </c>
      <c r="P164" s="20">
        <f>IF(B164&lt;ROTTE!$B$1,B164,"")</f>
        <v>25</v>
      </c>
      <c r="Q164" s="39">
        <f t="shared" si="65"/>
        <v>125.50392852046892</v>
      </c>
      <c r="R164" s="39">
        <f t="shared" si="66"/>
        <v>267.82282045673725</v>
      </c>
      <c r="T164" s="39">
        <f t="shared" si="61"/>
        <v>114.99207558702103</v>
      </c>
    </row>
    <row r="165" spans="1:20">
      <c r="A165" s="20">
        <f>A163+1</f>
        <v>13</v>
      </c>
      <c r="B165" s="20">
        <v>26</v>
      </c>
      <c r="C165" s="80">
        <f>$B$131*(A165-1)/$B$93</f>
        <v>3.204919855964494E-5</v>
      </c>
      <c r="D165" s="70">
        <f>IF(I165&gt;=0,ASIN(SIN($D$100)*COS(C165)+COS($D$100)*SIN(C165)*COS($C$121)),ASIN(SIN($D$103)*COS(ABS(I165)*SIN($B$132)/SIN($B$133)/$B$93)+COS($D$103)*SIN(ABS(I165)*SIN($B$132)/SIN($B$133)/$B$93)*COS($C$125)))</f>
        <v>0.80050453864862658</v>
      </c>
      <c r="E165" s="70">
        <f>IF(I165&gt;=0,$E$100+ATAN2(COS(C165)-SIN($D$100)*SIN(D165),SIN($C$121)*SIN(C165)*COS($D$100)),$E$103+ATAN2(COS(ABS(I165)*SIN($B$132)/SIN($B$133)/$B$93)-SIN($D$103)*SIN(D165),SIN($C$125)*SIN(ABS(I165)*SIN($B$132)/SIN($B$133)/$B$93)*COS($D$103)))</f>
        <v>0.18796895820900678</v>
      </c>
      <c r="F165" s="14">
        <f t="shared" si="79"/>
        <v>45.865531545633395</v>
      </c>
      <c r="G165" s="14">
        <f t="shared" si="80"/>
        <v>10.769827984847039</v>
      </c>
      <c r="H165" s="39">
        <f t="shared" si="68"/>
        <v>204.24305425136282</v>
      </c>
      <c r="I165" s="39">
        <f>$E$121-H165</f>
        <v>15.966339532782257</v>
      </c>
      <c r="K165" s="14">
        <f>IF(ROTTE!C54&lt;&gt;"",LN(TAN(D165/2+PI()/4)/TAN($D$140/2+PI()/4)),"")</f>
        <v>6.3607200359727645E-5</v>
      </c>
      <c r="L165" s="14">
        <f>IF(ROTTE!D54&lt;&gt;"",E165-$E$140,"")</f>
        <v>3.0307156982489758E-5</v>
      </c>
      <c r="M165" s="14">
        <f t="shared" si="62"/>
        <v>1.1261462847174872</v>
      </c>
      <c r="N165" s="70">
        <f t="shared" si="63"/>
        <v>64.523429228649974</v>
      </c>
      <c r="O165" s="39">
        <f t="shared" si="64"/>
        <v>312.67825990124879</v>
      </c>
      <c r="P165" s="20">
        <f>IF(B165&lt;ROTTE!$B$1,B165,"")</f>
        <v>26</v>
      </c>
      <c r="Q165" s="39">
        <f t="shared" si="65"/>
        <v>134.49604525242481</v>
      </c>
      <c r="R165" s="39">
        <f t="shared" si="66"/>
        <v>282.2738174651177</v>
      </c>
      <c r="T165" s="39">
        <f t="shared" si="61"/>
        <v>17.020266679971318</v>
      </c>
    </row>
    <row r="166" spans="1:20">
      <c r="A166" s="20">
        <f>A165</f>
        <v>13</v>
      </c>
      <c r="B166" s="20">
        <v>27</v>
      </c>
      <c r="C166" s="80">
        <f>$B$129*(A166-1)/$B$93</f>
        <v>3.2350479958387582E-5</v>
      </c>
      <c r="D166" s="70">
        <f>IF(I166&gt;=0,ASIN(SIN($D$101)*COS(C166)+COS($D$101)*SIN(C166)*COS($C$113)),ASIN(SIN($D$102)*COS(ABS(I166)*SIN($B$134)/SIN($B$135)/$B$93)+COS($D$102)*SIN(ABS(I166)*SIN($B$134)/SIN($B$135)/$B$93)*COS($C$117)))</f>
        <v>0.80050028938365292</v>
      </c>
      <c r="E166" s="70">
        <f>IF(I166&gt;=0,$E$101+ATAN2(COS(C166)-SIN($D$101)*SIN(D166),SIN($C$113)*SIN(C166)*COS($D$101)),$E$102+ATAN2(COS(ABS(I166)*SIN($B$134)/SIN($B$135)/$B$93)-SIN($D$102)*SIN(D166),SIN($C$117)*SIN(ABS(I166)*SIN($B$134)/SIN($B$135)/$B$93)*COS($D$102)))</f>
        <v>0.18797991754920459</v>
      </c>
      <c r="F166" s="14">
        <f t="shared" si="71"/>
        <v>45.865288080684373</v>
      </c>
      <c r="G166" s="14">
        <f t="shared" si="72"/>
        <v>10.770455908786621</v>
      </c>
      <c r="H166" s="39">
        <f t="shared" si="68"/>
        <v>206.16305961292596</v>
      </c>
      <c r="I166" s="39">
        <f>$E$113-H166</f>
        <v>-110.16376675506457</v>
      </c>
      <c r="K166" s="14">
        <f>IF(ROTTE!C55&lt;&gt;"",LN(TAN(D166/2+PI()/4)/TAN($D$140/2+PI()/4)),"")</f>
        <v>5.7504970028888008E-5</v>
      </c>
      <c r="L166" s="14">
        <f>IF(ROTTE!D55&lt;&gt;"",E166-$E$140,"")</f>
        <v>4.1266497180308948E-5</v>
      </c>
      <c r="M166" s="14">
        <f t="shared" si="62"/>
        <v>0.94834500142303901</v>
      </c>
      <c r="N166" s="70">
        <f t="shared" si="63"/>
        <v>54.336166103868187</v>
      </c>
      <c r="O166" s="39">
        <f t="shared" si="64"/>
        <v>314.10371138083724</v>
      </c>
      <c r="P166" s="20">
        <f>IF(B166&lt;ROTTE!$B$1,B166,"")</f>
        <v>27</v>
      </c>
      <c r="Q166" s="39">
        <f t="shared" si="65"/>
        <v>183.13141372185348</v>
      </c>
      <c r="R166" s="39">
        <f t="shared" si="66"/>
        <v>255.19409634913507</v>
      </c>
      <c r="T166" s="39">
        <f t="shared" si="61"/>
        <v>55.666061131325719</v>
      </c>
    </row>
    <row r="167" spans="1:20">
      <c r="A167" s="20">
        <f>A165+1</f>
        <v>14</v>
      </c>
      <c r="B167" s="20">
        <v>28</v>
      </c>
      <c r="C167" s="80">
        <f>$B$129*(A167-1)/$B$93</f>
        <v>3.5046353288253215E-5</v>
      </c>
      <c r="D167" s="70">
        <f>IF(I167&gt;=0,ASIN(SIN($D$101)*COS(C167)+COS($D$101)*SIN(C167)*COS($C$113)),ASIN(SIN($D$102)*COS(ABS(I167)*SIN($B$134)/SIN($B$135)/$B$93)+COS($D$102)*SIN(ABS(I167)*SIN($B$134)/SIN($B$135)/$B$93)*COS($C$117)))</f>
        <v>0.8005070832673099</v>
      </c>
      <c r="E167" s="70">
        <f>IF(I167&gt;=0,$E$101+ATAN2(COS(C167)-SIN($D$101)*SIN(D167),SIN($C$113)*SIN(C167)*COS($D$101)),$E$102+ATAN2(COS(ABS(I167)*SIN($B$134)/SIN($B$135)/$B$93)-SIN($D$102)*SIN(D167),SIN($C$117)*SIN(ABS(I167)*SIN($B$134)/SIN($B$135)/$B$93)*COS($D$102)))</f>
        <v>0.18797026203295819</v>
      </c>
      <c r="F167" s="14">
        <f t="shared" si="71"/>
        <v>45.865677341544419</v>
      </c>
      <c r="G167" s="14">
        <f t="shared" si="72"/>
        <v>10.769902688456682</v>
      </c>
      <c r="H167" s="39">
        <f t="shared" si="68"/>
        <v>223.34331458066978</v>
      </c>
      <c r="I167" s="39">
        <f>$E$113-H167</f>
        <v>-127.34402172280839</v>
      </c>
      <c r="K167" s="14" t="str">
        <f>IF(ROTTE!C56&lt;&gt;"",LN(TAN(D167/2+PI()/4)/TAN($D$140/2+PI()/4)),"")</f>
        <v/>
      </c>
      <c r="L167" s="14" t="str">
        <f>IF(ROTTE!D56&lt;&gt;"",E167-$E$140,"")</f>
        <v/>
      </c>
      <c r="M167" s="14" t="str">
        <f t="shared" si="62"/>
        <v/>
      </c>
      <c r="N167" s="70" t="str">
        <f t="shared" ref="N167:N230" si="81">IF(K167="","",M167*180/PI())</f>
        <v/>
      </c>
      <c r="O167" s="39" t="str">
        <f t="shared" ref="O167:O230" si="82">IF(K167="","",$B$93*ACOS(SIN($D$140)*SIN(D167)+COS($D$140)*COS(D167)*COS($E$140-E167)))</f>
        <v/>
      </c>
      <c r="P167" s="20" t="str">
        <f>IF(B167&lt;ROTTE!$B$1,B167,"")</f>
        <v/>
      </c>
      <c r="Q167" s="39" t="e">
        <f t="shared" si="65"/>
        <v>#N/A</v>
      </c>
      <c r="R167" s="39" t="e">
        <f t="shared" si="66"/>
        <v>#N/A</v>
      </c>
      <c r="T167" s="39">
        <f>IF(_xlfn.IFNA(Q167,0)=0,0,SQRT((Q167-Q166)^2+(R167-R166)^2))</f>
        <v>0</v>
      </c>
    </row>
    <row r="168" spans="1:20">
      <c r="A168" s="20">
        <f>A167</f>
        <v>14</v>
      </c>
      <c r="B168" s="20">
        <v>29</v>
      </c>
      <c r="C168" s="80">
        <f>$B$131*(A168-1)/$B$93</f>
        <v>3.4719965106282019E-5</v>
      </c>
      <c r="D168" s="70">
        <f>IF(I168&gt;=0,ASIN(SIN($D$100)*COS(C168)+COS($D$100)*SIN(C168)*COS($C$121)),ASIN(SIN($D$103)*COS(ABS(I168)*SIN($B$132)/SIN($B$133)/$B$93)+COS($D$103)*SIN(ABS(I168)*SIN($B$132)/SIN($B$133)/$B$93)*COS($C$125)))</f>
        <v>0.80050708672004189</v>
      </c>
      <c r="E168" s="70">
        <f>IF(I168&gt;=0,$E$100+ATAN2(COS(C168)-SIN($D$100)*SIN(D168),SIN($C$121)*SIN(C168)*COS($D$100)),$E$103+ATAN2(COS(ABS(I168)*SIN($B$132)/SIN($B$133)/$B$93)-SIN($D$103)*SIN(D168),SIN($C$125)*SIN(ABS(I168)*SIN($B$132)/SIN($B$133)/$B$93)*COS($D$103)))</f>
        <v>0.18797026080191831</v>
      </c>
      <c r="F168" s="14">
        <f t="shared" ref="F168:F169" si="83">D168*180/PI()</f>
        <v>45.865677539371397</v>
      </c>
      <c r="G168" s="14">
        <f t="shared" ref="G168:G169" si="84">E168*180/PI()</f>
        <v>10.769902617923291</v>
      </c>
      <c r="H168" s="39">
        <f t="shared" si="68"/>
        <v>221.26330877230973</v>
      </c>
      <c r="I168" s="39">
        <f>$E$121-H168</f>
        <v>-1.0539149881646495</v>
      </c>
      <c r="K168" s="14" t="str">
        <f>IF(ROTTE!C57&lt;&gt;"",LN(TAN(D168/2+PI()/4)/TAN($D$140/2+PI()/4)),"")</f>
        <v/>
      </c>
      <c r="L168" s="14" t="str">
        <f>IF(ROTTE!D57&lt;&gt;"",E168-$E$140,"")</f>
        <v/>
      </c>
      <c r="M168" s="14" t="str">
        <f t="shared" si="62"/>
        <v/>
      </c>
      <c r="N168" s="70" t="str">
        <f t="shared" si="81"/>
        <v/>
      </c>
      <c r="O168" s="39" t="str">
        <f t="shared" si="82"/>
        <v/>
      </c>
      <c r="P168" s="20" t="str">
        <f>IF(B168&lt;ROTTE!$B$1,B168,"")</f>
        <v/>
      </c>
      <c r="Q168" s="39" t="e">
        <f t="shared" ref="Q168:Q231" si="85">IF(K168="",NA(),O168*COS(M168))</f>
        <v>#N/A</v>
      </c>
      <c r="R168" s="39" t="e">
        <f t="shared" ref="R168:R231" si="86">IF(K168="",NA(),O168*SIN(M168))</f>
        <v>#N/A</v>
      </c>
      <c r="T168" s="39">
        <f t="shared" si="61"/>
        <v>0</v>
      </c>
    </row>
    <row r="169" spans="1:20">
      <c r="A169" s="20">
        <f>A167+1</f>
        <v>15</v>
      </c>
      <c r="B169" s="20">
        <v>30</v>
      </c>
      <c r="C169" s="80">
        <f>$B$131*(A169-1)/$B$93</f>
        <v>3.7390731652919097E-5</v>
      </c>
      <c r="D169" s="70">
        <f>IF(I169&gt;=0,ASIN(SIN($D$100)*COS(C169)+COS($D$100)*SIN(C169)*COS($C$121)),ASIN(SIN($D$103)*COS(ABS(I169)*SIN($B$132)/SIN($B$133)/$B$93)+COS($D$103)*SIN(ABS(I169)*SIN($B$132)/SIN($B$133)/$B$93)*COS($C$125)))</f>
        <v>0.80051388089955189</v>
      </c>
      <c r="E169" s="70">
        <f>IF(I169&gt;=0,$E$100+ATAN2(COS(C169)-SIN($D$100)*SIN(D169),SIN($C$121)*SIN(C169)*COS($D$100)),$E$103+ATAN2(COS(ABS(I169)*SIN($B$132)/SIN($B$133)/$B$93)-SIN($D$103)*SIN(D169),SIN($C$125)*SIN(ABS(I169)*SIN($B$132)/SIN($B$133)/$B$93)*COS($D$103)))</f>
        <v>0.18796060564735462</v>
      </c>
      <c r="F169" s="14">
        <f t="shared" si="83"/>
        <v>45.866066817182571</v>
      </c>
      <c r="G169" s="14">
        <f t="shared" si="84"/>
        <v>10.769349418316246</v>
      </c>
      <c r="H169" s="39">
        <f t="shared" si="68"/>
        <v>238.28356329325663</v>
      </c>
      <c r="I169" s="39">
        <f>$E$121-H169</f>
        <v>-18.074169509111556</v>
      </c>
      <c r="K169" s="14" t="str">
        <f>IF(ROTTE!C58&lt;&gt;"",LN(TAN(D169/2+PI()/4)/TAN($D$140/2+PI()/4)),"")</f>
        <v/>
      </c>
      <c r="L169" s="14" t="str">
        <f>IF(ROTTE!D58&lt;&gt;"",E169-$E$140,"")</f>
        <v/>
      </c>
      <c r="M169" s="14" t="str">
        <f t="shared" si="62"/>
        <v/>
      </c>
      <c r="N169" s="70" t="str">
        <f t="shared" si="81"/>
        <v/>
      </c>
      <c r="O169" s="39" t="str">
        <f t="shared" si="82"/>
        <v/>
      </c>
      <c r="P169" s="20" t="str">
        <f>IF(B169&lt;ROTTE!$B$1,B169,"")</f>
        <v/>
      </c>
      <c r="Q169" s="39" t="e">
        <f t="shared" si="85"/>
        <v>#N/A</v>
      </c>
      <c r="R169" s="39" t="e">
        <f t="shared" si="86"/>
        <v>#N/A</v>
      </c>
      <c r="T169" s="39">
        <f t="shared" si="61"/>
        <v>0</v>
      </c>
    </row>
    <row r="170" spans="1:20">
      <c r="A170" s="20">
        <f>A169</f>
        <v>15</v>
      </c>
      <c r="B170" s="20">
        <v>31</v>
      </c>
      <c r="C170" s="80">
        <f>$B$129*(A170-1)/$B$93</f>
        <v>3.7742226618118848E-5</v>
      </c>
      <c r="D170" s="70">
        <f>IF(I170&gt;=0,ASIN(SIN($D$101)*COS(C170)+COS($D$101)*SIN(C170)*COS($C$113)),ASIN(SIN($D$102)*COS(ABS(I170)*SIN($B$134)/SIN($B$135)/$B$93)+COS($D$102)*SIN(ABS(I170)*SIN($B$134)/SIN($B$135)/$B$93)*COS($C$117)))</f>
        <v>0.80051387710437283</v>
      </c>
      <c r="E170" s="70">
        <f>IF(I170&gt;=0,$E$101+ATAN2(COS(C170)-SIN($D$101)*SIN(D170),SIN($C$113)*SIN(C170)*COS($D$101)),$E$102+ATAN2(COS(ABS(I170)*SIN($B$134)/SIN($B$135)/$B$93)-SIN($D$102)*SIN(D170),SIN($C$117)*SIN(ABS(I170)*SIN($B$134)/SIN($B$135)/$B$93)*COS($D$102)))</f>
        <v>0.18796060638148879</v>
      </c>
      <c r="F170" s="14">
        <f t="shared" si="71"/>
        <v>45.866066599734822</v>
      </c>
      <c r="G170" s="14">
        <f t="shared" si="72"/>
        <v>10.769349460379035</v>
      </c>
      <c r="H170" s="39">
        <f t="shared" si="68"/>
        <v>240.52356954841363</v>
      </c>
      <c r="I170" s="39">
        <f>$E$113-H170</f>
        <v>-144.52427669055226</v>
      </c>
      <c r="K170" s="14" t="str">
        <f>IF(ROTTE!C59&lt;&gt;"",LN(TAN(D170/2+PI()/4)/TAN($D$140/2+PI()/4)),"")</f>
        <v/>
      </c>
      <c r="L170" s="14" t="str">
        <f>IF(ROTTE!D59&lt;&gt;"",E170-$E$140,"")</f>
        <v/>
      </c>
      <c r="M170" s="14" t="str">
        <f t="shared" si="62"/>
        <v/>
      </c>
      <c r="N170" s="70" t="str">
        <f t="shared" si="81"/>
        <v/>
      </c>
      <c r="O170" s="39" t="str">
        <f t="shared" si="82"/>
        <v/>
      </c>
      <c r="P170" s="20" t="str">
        <f>IF(B170&lt;ROTTE!$B$1,B170,"")</f>
        <v/>
      </c>
      <c r="Q170" s="39" t="e">
        <f t="shared" si="85"/>
        <v>#N/A</v>
      </c>
      <c r="R170" s="39" t="e">
        <f t="shared" si="86"/>
        <v>#N/A</v>
      </c>
      <c r="T170" s="39">
        <f t="shared" si="61"/>
        <v>0</v>
      </c>
    </row>
    <row r="171" spans="1:20">
      <c r="A171" s="20">
        <f>A169+1</f>
        <v>16</v>
      </c>
      <c r="B171" s="20">
        <v>32</v>
      </c>
      <c r="C171" s="80">
        <f>$B$129*(A171-1)/$B$93</f>
        <v>4.0438099947984481E-5</v>
      </c>
      <c r="D171" s="70">
        <f>IF(I171&gt;=0,ASIN(SIN($D$101)*COS(C171)+COS($D$101)*SIN(C171)*COS($C$113)),ASIN(SIN($D$102)*COS(ABS(I171)*SIN($B$134)/SIN($B$135)/$B$93)+COS($D$102)*SIN(ABS(I171)*SIN($B$134)/SIN($B$135)/$B$93)*COS($C$117)))</f>
        <v>0.8005206708948408</v>
      </c>
      <c r="E171" s="70">
        <f>IF(I171&gt;=0,$E$101+ATAN2(COS(C171)-SIN($D$101)*SIN(D171),SIN($C$113)*SIN(C171)*COS($D$101)),$E$102+ATAN2(COS(ABS(I171)*SIN($B$134)/SIN($B$135)/$B$93)-SIN($D$102)*SIN(D171),SIN($C$117)*SIN(ABS(I171)*SIN($B$134)/SIN($B$135)/$B$93)*COS($D$102)))</f>
        <v>0.18795095059479355</v>
      </c>
      <c r="F171" s="14">
        <f t="shared" si="71"/>
        <v>45.866455855255538</v>
      </c>
      <c r="G171" s="14">
        <f t="shared" si="72"/>
        <v>10.768796224553519</v>
      </c>
      <c r="H171" s="39">
        <f t="shared" si="68"/>
        <v>257.70382451615745</v>
      </c>
      <c r="I171" s="39">
        <f>$E$113-H171</f>
        <v>-161.70453165829605</v>
      </c>
      <c r="K171" s="14" t="str">
        <f>IF(ROTTE!C60&lt;&gt;"",LN(TAN(D171/2+PI()/4)/TAN($D$140/2+PI()/4)),"")</f>
        <v/>
      </c>
      <c r="L171" s="14" t="str">
        <f>IF(ROTTE!D60&lt;&gt;"",E171-$E$140,"")</f>
        <v/>
      </c>
      <c r="M171" s="14" t="str">
        <f t="shared" si="62"/>
        <v/>
      </c>
      <c r="N171" s="70" t="str">
        <f t="shared" si="81"/>
        <v/>
      </c>
      <c r="O171" s="39" t="str">
        <f t="shared" si="82"/>
        <v/>
      </c>
      <c r="P171" s="20" t="str">
        <f>IF(B171&lt;ROTTE!$B$1,B171,"")</f>
        <v/>
      </c>
      <c r="Q171" s="39" t="e">
        <f t="shared" si="85"/>
        <v>#N/A</v>
      </c>
      <c r="R171" s="39" t="e">
        <f t="shared" si="86"/>
        <v>#N/A</v>
      </c>
      <c r="T171" s="39">
        <f t="shared" si="61"/>
        <v>0</v>
      </c>
    </row>
    <row r="172" spans="1:20">
      <c r="A172" s="20">
        <f>A171</f>
        <v>16</v>
      </c>
      <c r="B172" s="20">
        <v>33</v>
      </c>
      <c r="C172" s="80">
        <f>$B$131*(A172-1)/$B$93</f>
        <v>4.0061498199556175E-5</v>
      </c>
      <c r="D172" s="70">
        <f>IF(I172&gt;=0,ASIN(SIN($D$100)*COS(C172)+COS($D$100)*SIN(C172)*COS($C$121)),ASIN(SIN($D$103)*COS(ABS(I172)*SIN($B$132)/SIN($B$133)/$B$93)+COS($D$103)*SIN(ABS(I172)*SIN($B$132)/SIN($B$133)/$B$93)*COS($C$125)))</f>
        <v>0.80052067503247137</v>
      </c>
      <c r="E172" s="70">
        <f>IF(I172&gt;=0,$E$100+ATAN2(COS(C172)-SIN($D$100)*SIN(D172),SIN($C$121)*SIN(C172)*COS($D$100)),$E$103+ATAN2(COS(ABS(I172)*SIN($B$132)/SIN($B$133)/$B$93)-SIN($D$103)*SIN(D172),SIN($C$125)*SIN(ABS(I172)*SIN($B$132)/SIN($B$133)/$B$93)*COS($D$103)))</f>
        <v>0.18795095035756526</v>
      </c>
      <c r="F172" s="14">
        <f t="shared" ref="F172:F173" si="87">D172*180/PI()</f>
        <v>45.866456092324306</v>
      </c>
      <c r="G172" s="14">
        <f t="shared" ref="G172:G173" si="88">E172*180/PI()</f>
        <v>10.768796210961341</v>
      </c>
      <c r="H172" s="39">
        <f t="shared" si="68"/>
        <v>255.30381781420354</v>
      </c>
      <c r="I172" s="39">
        <f>$E$121-H172</f>
        <v>-35.094424030058462</v>
      </c>
      <c r="K172" s="14" t="str">
        <f>IF(ROTTE!C61&lt;&gt;"",LN(TAN(D172/2+PI()/4)/TAN($D$140/2+PI()/4)),"")</f>
        <v/>
      </c>
      <c r="L172" s="14" t="str">
        <f>IF(ROTTE!D61&lt;&gt;"",E172-$E$140,"")</f>
        <v/>
      </c>
      <c r="M172" s="14" t="str">
        <f t="shared" si="62"/>
        <v/>
      </c>
      <c r="N172" s="70" t="str">
        <f t="shared" si="81"/>
        <v/>
      </c>
      <c r="O172" s="39" t="str">
        <f t="shared" si="82"/>
        <v/>
      </c>
      <c r="P172" s="20" t="str">
        <f>IF(B172&lt;ROTTE!$B$1,B172,"")</f>
        <v/>
      </c>
      <c r="Q172" s="39" t="e">
        <f t="shared" si="85"/>
        <v>#N/A</v>
      </c>
      <c r="R172" s="39" t="e">
        <f t="shared" si="86"/>
        <v>#N/A</v>
      </c>
      <c r="T172" s="39">
        <f t="shared" si="61"/>
        <v>0</v>
      </c>
    </row>
    <row r="173" spans="1:20">
      <c r="A173" s="20">
        <f>A171+1</f>
        <v>17</v>
      </c>
      <c r="B173" s="20">
        <v>34</v>
      </c>
      <c r="C173" s="80">
        <f>$B$131*(A173-1)/$B$93</f>
        <v>4.2732264746193254E-5</v>
      </c>
      <c r="D173" s="70">
        <f>IF(I173&gt;=0,ASIN(SIN($D$100)*COS(C173)+COS($D$100)*SIN(C173)*COS($C$121)),ASIN(SIN($D$103)*COS(ABS(I173)*SIN($B$132)/SIN($B$133)/$B$93)+COS($D$103)*SIN(ABS(I173)*SIN($B$132)/SIN($B$133)/$B$93)*COS($C$125)))</f>
        <v>0.80052746911879913</v>
      </c>
      <c r="E173" s="70">
        <f>IF(I173&gt;=0,$E$100+ATAN2(COS(C173)-SIN($D$100)*SIN(D173),SIN($C$121)*SIN(C173)*COS($D$100)),$E$103+ATAN2(COS(ABS(I173)*SIN($B$132)/SIN($B$133)/$B$93)-SIN($D$103)*SIN(D173),SIN($C$125)*SIN(ABS(I173)*SIN($B$132)/SIN($B$133)/$B$93)*COS($D$103)))</f>
        <v>0.18794129493254741</v>
      </c>
      <c r="F173" s="14">
        <f t="shared" si="87"/>
        <v>45.866845364796532</v>
      </c>
      <c r="G173" s="14">
        <f t="shared" si="88"/>
        <v>10.768242995858412</v>
      </c>
      <c r="H173" s="39">
        <f t="shared" si="68"/>
        <v>272.32407233515045</v>
      </c>
      <c r="I173" s="39">
        <f>$E$121-H173</f>
        <v>-52.114678551005369</v>
      </c>
      <c r="K173" s="14" t="str">
        <f>IF(ROTTE!C62&lt;&gt;"",LN(TAN(D173/2+PI()/4)/TAN($D$140/2+PI()/4)),"")</f>
        <v/>
      </c>
      <c r="L173" s="14" t="str">
        <f>IF(ROTTE!D62&lt;&gt;"",E173-$E$140,"")</f>
        <v/>
      </c>
      <c r="M173" s="14" t="str">
        <f t="shared" si="62"/>
        <v/>
      </c>
      <c r="N173" s="70" t="str">
        <f t="shared" si="81"/>
        <v/>
      </c>
      <c r="O173" s="39" t="str">
        <f t="shared" si="82"/>
        <v/>
      </c>
      <c r="P173" s="20" t="str">
        <f>IF(B173&lt;ROTTE!$B$1,B173,"")</f>
        <v/>
      </c>
      <c r="Q173" s="39" t="e">
        <f t="shared" si="85"/>
        <v>#N/A</v>
      </c>
      <c r="R173" s="39" t="e">
        <f t="shared" si="86"/>
        <v>#N/A</v>
      </c>
      <c r="T173" s="39">
        <f t="shared" si="61"/>
        <v>0</v>
      </c>
    </row>
    <row r="174" spans="1:20">
      <c r="A174" s="20">
        <f>A173</f>
        <v>17</v>
      </c>
      <c r="B174" s="20">
        <v>35</v>
      </c>
      <c r="C174" s="80">
        <f>$B$129*(A174-1)/$B$93</f>
        <v>4.3133973277850114E-5</v>
      </c>
      <c r="D174" s="70">
        <f>IF(I174&gt;=0,ASIN(SIN($D$101)*COS(C174)+COS($D$101)*SIN(C174)*COS($C$113)),ASIN(SIN($D$102)*COS(ABS(I174)*SIN($B$134)/SIN($B$135)/$B$93)+COS($D$102)*SIN(ABS(I174)*SIN($B$134)/SIN($B$135)/$B$93)*COS($C$117)))</f>
        <v>0.80052746463871227</v>
      </c>
      <c r="E174" s="70">
        <f>IF(I174&gt;=0,$E$101+ATAN2(COS(C174)-SIN($D$101)*SIN(D174),SIN($C$113)*SIN(C174)*COS($D$101)),$E$102+ATAN2(COS(ABS(I174)*SIN($B$134)/SIN($B$135)/$B$93)-SIN($D$102)*SIN(D174),SIN($C$117)*SIN(ABS(I174)*SIN($B$134)/SIN($B$135)/$B$93)*COS($D$102)))</f>
        <v>0.18794129467286971</v>
      </c>
      <c r="F174" s="14">
        <f t="shared" si="71"/>
        <v>45.866845108106467</v>
      </c>
      <c r="G174" s="14">
        <f t="shared" si="72"/>
        <v>10.768242980979977</v>
      </c>
      <c r="H174" s="39">
        <f t="shared" si="68"/>
        <v>274.8840794839013</v>
      </c>
      <c r="I174" s="39">
        <f>$E$113-H174</f>
        <v>-178.8847866260399</v>
      </c>
      <c r="K174" s="14" t="str">
        <f>IF(ROTTE!C63&lt;&gt;"",LN(TAN(D174/2+PI()/4)/TAN($D$140/2+PI()/4)),"")</f>
        <v/>
      </c>
      <c r="L174" s="14" t="str">
        <f>IF(ROTTE!D63&lt;&gt;"",E174-$E$140,"")</f>
        <v/>
      </c>
      <c r="M174" s="14" t="str">
        <f t="shared" si="62"/>
        <v/>
      </c>
      <c r="N174" s="70" t="str">
        <f t="shared" si="81"/>
        <v/>
      </c>
      <c r="O174" s="39" t="str">
        <f t="shared" si="82"/>
        <v/>
      </c>
      <c r="P174" s="20" t="str">
        <f>IF(B174&lt;ROTTE!$B$1,B174,"")</f>
        <v/>
      </c>
      <c r="Q174" s="39" t="e">
        <f t="shared" si="85"/>
        <v>#N/A</v>
      </c>
      <c r="R174" s="39" t="e">
        <f t="shared" si="86"/>
        <v>#N/A</v>
      </c>
      <c r="T174" s="39">
        <f t="shared" si="61"/>
        <v>0</v>
      </c>
    </row>
    <row r="175" spans="1:20">
      <c r="A175" s="20">
        <f>A173+1</f>
        <v>18</v>
      </c>
      <c r="B175" s="20">
        <v>36</v>
      </c>
      <c r="C175" s="80">
        <f>$B$129*(A175-1)/$B$93</f>
        <v>4.5829846607715747E-5</v>
      </c>
      <c r="D175" s="70">
        <f>IF(I175&gt;=0,ASIN(SIN($D$101)*COS(C175)+COS($D$101)*SIN(C175)*COS($C$113)),ASIN(SIN($D$102)*COS(ABS(I175)*SIN($B$134)/SIN($B$135)/$B$93)+COS($D$102)*SIN(ABS(I175)*SIN($B$134)/SIN($B$135)/$B$93)*COS($C$117)))</f>
        <v>0.80053425833598602</v>
      </c>
      <c r="E175" s="70">
        <f>IF(I175&gt;=0,$E$101+ATAN2(COS(C175)-SIN($D$101)*SIN(D175),SIN($C$113)*SIN(C175)*COS($D$101)),$E$102+ATAN2(COS(ABS(I175)*SIN($B$134)/SIN($B$135)/$B$93)-SIN($D$102)*SIN(D175),SIN($C$117)*SIN(ABS(I175)*SIN($B$134)/SIN($B$135)/$B$93)*COS($D$102)))</f>
        <v>0.18793163861571444</v>
      </c>
      <c r="F175" s="14">
        <f t="shared" si="71"/>
        <v>45.86723435828754</v>
      </c>
      <c r="G175" s="14">
        <f t="shared" si="72"/>
        <v>10.767689729658242</v>
      </c>
      <c r="H175" s="39">
        <f t="shared" si="68"/>
        <v>292.06433445164515</v>
      </c>
      <c r="I175" s="39">
        <f>$E$113-H175</f>
        <v>-196.06504159378375</v>
      </c>
      <c r="K175" s="14" t="str">
        <f>IF(ROTTE!C64&lt;&gt;"",LN(TAN(D175/2+PI()/4)/TAN($D$140/2+PI()/4)),"")</f>
        <v/>
      </c>
      <c r="L175" s="14" t="str">
        <f>IF(ROTTE!D64&lt;&gt;"",E175-$E$140,"")</f>
        <v/>
      </c>
      <c r="M175" s="14" t="str">
        <f t="shared" si="62"/>
        <v/>
      </c>
      <c r="N175" s="70" t="str">
        <f t="shared" si="81"/>
        <v/>
      </c>
      <c r="O175" s="39" t="str">
        <f t="shared" si="82"/>
        <v/>
      </c>
      <c r="P175" s="20" t="str">
        <f>IF(B175&lt;ROTTE!$B$1,B175,"")</f>
        <v/>
      </c>
      <c r="Q175" s="39" t="e">
        <f t="shared" si="85"/>
        <v>#N/A</v>
      </c>
      <c r="R175" s="39" t="e">
        <f t="shared" si="86"/>
        <v>#N/A</v>
      </c>
      <c r="T175" s="39">
        <f t="shared" si="61"/>
        <v>0</v>
      </c>
    </row>
    <row r="176" spans="1:20">
      <c r="A176" s="20">
        <f>A175</f>
        <v>18</v>
      </c>
      <c r="B176" s="20">
        <v>37</v>
      </c>
      <c r="C176" s="80">
        <f>$B$131*(A176-1)/$B$93</f>
        <v>4.5403031292830332E-5</v>
      </c>
      <c r="D176" s="70">
        <f>IF(I176&gt;=0,ASIN(SIN($D$100)*COS(C176)+COS($D$100)*SIN(C176)*COS($C$121)),ASIN(SIN($D$103)*COS(ABS(I176)*SIN($B$132)/SIN($B$133)/$B$93)+COS($D$103)*SIN(ABS(I176)*SIN($B$132)/SIN($B$133)/$B$93)*COS($C$125)))</f>
        <v>0.80053426315853404</v>
      </c>
      <c r="E176" s="70">
        <f>IF(I176&gt;=0,$E$100+ATAN2(COS(C176)-SIN($D$100)*SIN(D176),SIN($C$121)*SIN(C176)*COS($D$100)),$E$103+ATAN2(COS(ABS(I176)*SIN($B$132)/SIN($B$133)/$B$93)-SIN($D$103)*SIN(D176),SIN($C$125)*SIN(ABS(I176)*SIN($B$132)/SIN($B$133)/$B$93)*COS($D$103)))</f>
        <v>0.18793163937229829</v>
      </c>
      <c r="F176" s="14">
        <f t="shared" ref="F176:F177" si="89">D176*180/PI()</f>
        <v>45.867234634599185</v>
      </c>
      <c r="G176" s="14">
        <f t="shared" ref="G176:G177" si="90">E176*180/PI()</f>
        <v>10.767689773007305</v>
      </c>
      <c r="H176" s="39">
        <f t="shared" si="68"/>
        <v>289.34432685609733</v>
      </c>
      <c r="I176" s="39">
        <f>$E$121-H176</f>
        <v>-69.134933071952247</v>
      </c>
      <c r="K176" s="14" t="str">
        <f>IF(ROTTE!C65&lt;&gt;"",LN(TAN(D176/2+PI()/4)/TAN($D$140/2+PI()/4)),"")</f>
        <v/>
      </c>
      <c r="L176" s="14" t="str">
        <f>IF(ROTTE!D65&lt;&gt;"",E176-$E$140,"")</f>
        <v/>
      </c>
      <c r="M176" s="14" t="str">
        <f t="shared" si="62"/>
        <v/>
      </c>
      <c r="N176" s="70" t="str">
        <f t="shared" si="81"/>
        <v/>
      </c>
      <c r="O176" s="39" t="str">
        <f t="shared" si="82"/>
        <v/>
      </c>
      <c r="P176" s="20" t="str">
        <f>IF(B176&lt;ROTTE!$B$1,B176,"")</f>
        <v/>
      </c>
      <c r="Q176" s="39" t="e">
        <f t="shared" si="85"/>
        <v>#N/A</v>
      </c>
      <c r="R176" s="39" t="e">
        <f t="shared" si="86"/>
        <v>#N/A</v>
      </c>
      <c r="T176" s="39">
        <f t="shared" si="61"/>
        <v>0</v>
      </c>
    </row>
    <row r="177" spans="1:20">
      <c r="A177" s="20">
        <f>A175+1</f>
        <v>19</v>
      </c>
      <c r="B177" s="20">
        <v>38</v>
      </c>
      <c r="C177" s="80">
        <f>$B$131*(A177-1)/$B$93</f>
        <v>4.8073797839467417E-5</v>
      </c>
      <c r="D177" s="70">
        <f>IF(I177&gt;=0,ASIN(SIN($D$100)*COS(C177)+COS($D$100)*SIN(C177)*COS($C$121)),ASIN(SIN($D$103)*COS(ABS(I177)*SIN($B$132)/SIN($B$133)/$B$93)+COS($D$103)*SIN(ABS(I177)*SIN($B$132)/SIN($B$133)/$B$93)*COS($C$125)))</f>
        <v>0.80054105715167467</v>
      </c>
      <c r="E177" s="70">
        <f>IF(I177&gt;=0,$E$100+ATAN2(COS(C177)-SIN($D$100)*SIN(D177),SIN($C$121)*SIN(C177)*COS($D$100)),$E$103+ATAN2(COS(ABS(I177)*SIN($B$132)/SIN($B$133)/$B$93)-SIN($D$103)*SIN(D177),SIN($C$125)*SIN(ABS(I177)*SIN($B$132)/SIN($B$133)/$B$93)*COS($D$103)))</f>
        <v>0.18792198367681506</v>
      </c>
      <c r="F177" s="14">
        <f t="shared" si="89"/>
        <v>45.867623901732188</v>
      </c>
      <c r="G177" s="14">
        <f t="shared" si="90"/>
        <v>10.767136542407853</v>
      </c>
      <c r="H177" s="39">
        <f t="shared" si="68"/>
        <v>306.36458137704426</v>
      </c>
      <c r="I177" s="39">
        <f>$E$121-H177</f>
        <v>-86.155187592899182</v>
      </c>
      <c r="K177" s="14" t="str">
        <f>IF(ROTTE!C66&lt;&gt;"",LN(TAN(D177/2+PI()/4)/TAN($D$140/2+PI()/4)),"")</f>
        <v/>
      </c>
      <c r="L177" s="14" t="str">
        <f>IF(ROTTE!D66&lt;&gt;"",E177-$E$140,"")</f>
        <v/>
      </c>
      <c r="M177" s="14" t="str">
        <f t="shared" si="62"/>
        <v/>
      </c>
      <c r="N177" s="70" t="str">
        <f t="shared" si="81"/>
        <v/>
      </c>
      <c r="O177" s="39" t="str">
        <f t="shared" si="82"/>
        <v/>
      </c>
      <c r="P177" s="20" t="str">
        <f>IF(B177&lt;ROTTE!$B$1,B177,"")</f>
        <v/>
      </c>
      <c r="Q177" s="39" t="e">
        <f t="shared" si="85"/>
        <v>#N/A</v>
      </c>
      <c r="R177" s="39" t="e">
        <f t="shared" si="86"/>
        <v>#N/A</v>
      </c>
      <c r="T177" s="39">
        <f t="shared" si="61"/>
        <v>0</v>
      </c>
    </row>
    <row r="178" spans="1:20">
      <c r="A178" s="20">
        <f>A177</f>
        <v>19</v>
      </c>
      <c r="B178" s="20">
        <v>39</v>
      </c>
      <c r="C178" s="80">
        <f>$B$129*(A178-1)/$B$93</f>
        <v>4.8525719937581373E-5</v>
      </c>
      <c r="D178" s="70">
        <f>IF(I178&gt;=0,ASIN(SIN($D$101)*COS(C178)+COS($D$101)*SIN(C178)*COS($C$113)),ASIN(SIN($D$102)*COS(ABS(I178)*SIN($B$134)/SIN($B$135)/$B$93)+COS($D$102)*SIN(ABS(I178)*SIN($B$134)/SIN($B$135)/$B$93)*COS($C$117)))</f>
        <v>0.80054105198666059</v>
      </c>
      <c r="E178" s="70">
        <f>IF(I178&gt;=0,$E$101+ATAN2(COS(C178)-SIN($D$101)*SIN(D178),SIN($C$113)*SIN(C178)*COS($D$101)),$E$102+ATAN2(COS(ABS(I178)*SIN($B$134)/SIN($B$135)/$B$93)-SIN($D$102)*SIN(D178),SIN($C$117)*SIN(ABS(I178)*SIN($B$134)/SIN($B$135)/$B$93)*COS($D$102)))</f>
        <v>0.18792198242332495</v>
      </c>
      <c r="F178" s="14">
        <f t="shared" si="71"/>
        <v>45.867623605798677</v>
      </c>
      <c r="G178" s="14">
        <f t="shared" si="72"/>
        <v>10.767136470588159</v>
      </c>
      <c r="H178" s="39">
        <f t="shared" si="68"/>
        <v>309.24458941938894</v>
      </c>
      <c r="I178" s="39">
        <f>$E$113-H178</f>
        <v>-213.24529656152754</v>
      </c>
      <c r="K178" s="14" t="str">
        <f>IF(ROTTE!C67&lt;&gt;"",LN(TAN(D178/2+PI()/4)/TAN($D$140/2+PI()/4)),"")</f>
        <v/>
      </c>
      <c r="L178" s="14" t="str">
        <f>IF(ROTTE!D67&lt;&gt;"",E178-$E$140,"")</f>
        <v/>
      </c>
      <c r="M178" s="14" t="str">
        <f t="shared" si="62"/>
        <v/>
      </c>
      <c r="N178" s="70" t="str">
        <f t="shared" si="81"/>
        <v/>
      </c>
      <c r="O178" s="39" t="str">
        <f t="shared" si="82"/>
        <v/>
      </c>
      <c r="P178" s="20" t="str">
        <f>IF(B178&lt;ROTTE!$B$1,B178,"")</f>
        <v/>
      </c>
      <c r="Q178" s="39" t="e">
        <f t="shared" si="85"/>
        <v>#N/A</v>
      </c>
      <c r="R178" s="39" t="e">
        <f t="shared" si="86"/>
        <v>#N/A</v>
      </c>
      <c r="T178" s="39">
        <f t="shared" si="61"/>
        <v>0</v>
      </c>
    </row>
    <row r="179" spans="1:20">
      <c r="A179" s="20">
        <f>A177+1</f>
        <v>20</v>
      </c>
      <c r="B179" s="20">
        <v>40</v>
      </c>
      <c r="C179" s="80">
        <f>$B$129*(A179-1)/$B$93</f>
        <v>5.1221593267447006E-5</v>
      </c>
      <c r="D179" s="70">
        <f>IF(I179&gt;=0,ASIN(SIN($D$101)*COS(C179)+COS($D$101)*SIN(C179)*COS($C$113)),ASIN(SIN($D$102)*COS(ABS(I179)*SIN($B$134)/SIN($B$135)/$B$93)+COS($D$102)*SIN(ABS(I179)*SIN($B$134)/SIN($B$135)/$B$93)*COS($C$117)))</f>
        <v>0.800547845590735</v>
      </c>
      <c r="E179" s="70">
        <f>IF(I179&gt;=0,$E$101+ATAN2(COS(C179)-SIN($D$101)*SIN(D179),SIN($C$113)*SIN(C179)*COS($D$101)),$E$102+ATAN2(COS(ABS(I179)*SIN($B$134)/SIN($B$135)/$B$93)-SIN($D$102)*SIN(D179),SIN($C$117)*SIN(ABS(I179)*SIN($B$134)/SIN($B$135)/$B$93)*COS($D$102)))</f>
        <v>0.18791232609569844</v>
      </c>
      <c r="F179" s="14">
        <f t="shared" si="71"/>
        <v>45.868012850639822</v>
      </c>
      <c r="G179" s="14">
        <f t="shared" si="72"/>
        <v>10.766583203769564</v>
      </c>
      <c r="H179" s="39">
        <f t="shared" si="68"/>
        <v>326.42484438713279</v>
      </c>
      <c r="I179" s="39">
        <f>$E$113-H179</f>
        <v>-230.42555152927139</v>
      </c>
      <c r="K179" s="14" t="str">
        <f>IF(ROTTE!C68&lt;&gt;"",LN(TAN(D179/2+PI()/4)/TAN($D$140/2+PI()/4)),"")</f>
        <v/>
      </c>
      <c r="L179" s="14" t="str">
        <f>IF(ROTTE!D68&lt;&gt;"",E179-$E$140,"")</f>
        <v/>
      </c>
      <c r="M179" s="14" t="str">
        <f t="shared" si="62"/>
        <v/>
      </c>
      <c r="N179" s="70" t="str">
        <f t="shared" si="81"/>
        <v/>
      </c>
      <c r="O179" s="39" t="str">
        <f t="shared" si="82"/>
        <v/>
      </c>
      <c r="P179" s="20" t="str">
        <f>IF(B179&lt;ROTTE!$B$1,B179,"")</f>
        <v/>
      </c>
      <c r="Q179" s="39" t="e">
        <f t="shared" si="85"/>
        <v>#N/A</v>
      </c>
      <c r="R179" s="39" t="e">
        <f t="shared" si="86"/>
        <v>#N/A</v>
      </c>
      <c r="T179" s="39">
        <f t="shared" si="61"/>
        <v>0</v>
      </c>
    </row>
    <row r="180" spans="1:20">
      <c r="A180" s="20">
        <f>A179</f>
        <v>20</v>
      </c>
      <c r="B180" s="20">
        <v>41</v>
      </c>
      <c r="C180" s="80">
        <f>$B$131*(A180-1)/$B$93</f>
        <v>5.0744564386104489E-5</v>
      </c>
      <c r="D180" s="70">
        <f>IF(I180&gt;=0,ASIN(SIN($D$100)*COS(C180)+COS($D$100)*SIN(C180)*COS($C$121)),ASIN(SIN($D$103)*COS(ABS(I180)*SIN($B$132)/SIN($B$133)/$B$93)+COS($D$103)*SIN(ABS(I180)*SIN($B$132)/SIN($B$133)/$B$93)*COS($C$125)))</f>
        <v>0.80054785109821969</v>
      </c>
      <c r="E180" s="70">
        <f>IF(I180&gt;=0,$E$100+ATAN2(COS(C180)-SIN($D$100)*SIN(D180),SIN($C$121)*SIN(C180)*COS($D$100)),$E$103+ATAN2(COS(ABS(I180)*SIN($B$132)/SIN($B$133)/$B$93)-SIN($D$103)*SIN(D180),SIN($C$125)*SIN(ABS(I180)*SIN($B$132)/SIN($B$133)/$B$93)*COS($D$103)))</f>
        <v>0.18791232784609496</v>
      </c>
      <c r="F180" s="14">
        <f t="shared" ref="F180:F181" si="91">D180*180/PI()</f>
        <v>45.86801316619546</v>
      </c>
      <c r="G180" s="14">
        <f t="shared" ref="G180:G181" si="92">E180*180/PI()</f>
        <v>10.766583304059896</v>
      </c>
      <c r="H180" s="39">
        <f t="shared" si="68"/>
        <v>323.38483589799114</v>
      </c>
      <c r="I180" s="39">
        <f>$E$121-H180</f>
        <v>-103.17544211384606</v>
      </c>
      <c r="K180" s="14" t="str">
        <f>IF(ROTTE!C69&lt;&gt;"",LN(TAN(D180/2+PI()/4)/TAN($D$140/2+PI()/4)),"")</f>
        <v/>
      </c>
      <c r="L180" s="14" t="str">
        <f>IF(ROTTE!D69&lt;&gt;"",E180-$E$140,"")</f>
        <v/>
      </c>
      <c r="M180" s="14" t="str">
        <f t="shared" si="62"/>
        <v/>
      </c>
      <c r="N180" s="70" t="str">
        <f t="shared" si="81"/>
        <v/>
      </c>
      <c r="O180" s="39" t="str">
        <f t="shared" si="82"/>
        <v/>
      </c>
      <c r="P180" s="20" t="str">
        <f>IF(B180&lt;ROTTE!$B$1,B180,"")</f>
        <v/>
      </c>
      <c r="Q180" s="39" t="e">
        <f t="shared" si="85"/>
        <v>#N/A</v>
      </c>
      <c r="R180" s="39" t="e">
        <f t="shared" si="86"/>
        <v>#N/A</v>
      </c>
      <c r="T180" s="39">
        <f t="shared" si="61"/>
        <v>0</v>
      </c>
    </row>
    <row r="181" spans="1:20">
      <c r="A181" s="20">
        <f>A179+1</f>
        <v>21</v>
      </c>
      <c r="B181" s="20">
        <v>42</v>
      </c>
      <c r="C181" s="80">
        <f>$B$131*(A181-1)/$B$93</f>
        <v>5.3415330932741574E-5</v>
      </c>
      <c r="D181" s="70">
        <f>IF(I181&gt;=0,ASIN(SIN($D$100)*COS(C181)+COS($D$100)*SIN(C181)*COS($C$121)),ASIN(SIN($D$103)*COS(ABS(I181)*SIN($B$132)/SIN($B$133)/$B$93)+COS($D$103)*SIN(ABS(I181)*SIN($B$132)/SIN($B$133)/$B$93)*COS($C$125)))</f>
        <v>0.80055464499816809</v>
      </c>
      <c r="E181" s="70">
        <f>IF(I181&gt;=0,$E$100+ATAN2(COS(C181)-SIN($D$100)*SIN(D181),SIN($C$121)*SIN(C181)*COS($D$100)),$E$103+ATAN2(COS(ABS(I181)*SIN($B$132)/SIN($B$133)/$B$93)-SIN($D$103)*SIN(D181),SIN($C$125)*SIN(ABS(I181)*SIN($B$132)/SIN($B$133)/$B$93)*COS($D$103)))</f>
        <v>0.18790267188013518</v>
      </c>
      <c r="F181" s="14">
        <f t="shared" si="91"/>
        <v>45.868402427988933</v>
      </c>
      <c r="G181" s="14">
        <f t="shared" si="92"/>
        <v>10.766030057963279</v>
      </c>
      <c r="H181" s="39">
        <f t="shared" si="68"/>
        <v>340.40509041893807</v>
      </c>
      <c r="I181" s="39">
        <f>$E$121-H181</f>
        <v>-120.19569663479299</v>
      </c>
      <c r="K181" s="14" t="str">
        <f>IF(ROTTE!C70&lt;&gt;"",LN(TAN(D181/2+PI()/4)/TAN($D$140/2+PI()/4)),"")</f>
        <v/>
      </c>
      <c r="L181" s="14" t="str">
        <f>IF(ROTTE!D70&lt;&gt;"",E181-$E$140,"")</f>
        <v/>
      </c>
      <c r="M181" s="14" t="str">
        <f t="shared" si="62"/>
        <v/>
      </c>
      <c r="N181" s="70" t="str">
        <f t="shared" si="81"/>
        <v/>
      </c>
      <c r="O181" s="39" t="str">
        <f t="shared" si="82"/>
        <v/>
      </c>
      <c r="P181" s="20" t="str">
        <f>IF(B181&lt;ROTTE!$B$1,B181,"")</f>
        <v/>
      </c>
      <c r="Q181" s="39" t="e">
        <f t="shared" si="85"/>
        <v>#N/A</v>
      </c>
      <c r="R181" s="39" t="e">
        <f t="shared" si="86"/>
        <v>#N/A</v>
      </c>
      <c r="T181" s="39">
        <f t="shared" si="61"/>
        <v>0</v>
      </c>
    </row>
    <row r="182" spans="1:20">
      <c r="A182" s="20">
        <f>A181</f>
        <v>21</v>
      </c>
      <c r="B182" s="20">
        <v>43</v>
      </c>
      <c r="C182" s="80">
        <f>$B$129*(A182-1)/$B$93</f>
        <v>5.3917466597312646E-5</v>
      </c>
      <c r="D182" s="70">
        <f>IF(I182&gt;=0,ASIN(SIN($D$101)*COS(C182)+COS($D$101)*SIN(C182)*COS($C$113)),ASIN(SIN($D$102)*COS(ABS(I182)*SIN($B$134)/SIN($B$135)/$B$93)+COS($D$102)*SIN(ABS(I182)*SIN($B$134)/SIN($B$135)/$B$93)*COS($C$117)))</f>
        <v>0.8005546391482079</v>
      </c>
      <c r="E182" s="70">
        <f>IF(I182&gt;=0,$E$101+ATAN2(COS(C182)-SIN($D$101)*SIN(D182),SIN($C$113)*SIN(C182)*COS($D$101)),$E$102+ATAN2(COS(ABS(I182)*SIN($B$134)/SIN($B$135)/$B$93)-SIN($D$102)*SIN(D182),SIN($C$117)*SIN(ABS(I182)*SIN($B$134)/SIN($B$135)/$B$93)*COS($D$102)))</f>
        <v>0.18790266963283209</v>
      </c>
      <c r="F182" s="14">
        <f t="shared" si="71"/>
        <v>45.868402092810896</v>
      </c>
      <c r="G182" s="14">
        <f t="shared" si="72"/>
        <v>10.766029929202297</v>
      </c>
      <c r="H182" s="39">
        <f t="shared" si="68"/>
        <v>343.60509935487664</v>
      </c>
      <c r="I182" s="39">
        <f>$E$113-H182</f>
        <v>-247.60580649701524</v>
      </c>
      <c r="K182" s="14" t="str">
        <f>IF(ROTTE!C71&lt;&gt;"",LN(TAN(D182/2+PI()/4)/TAN($D$140/2+PI()/4)),"")</f>
        <v/>
      </c>
      <c r="L182" s="14" t="str">
        <f>IF(ROTTE!D71&lt;&gt;"",E182-$E$140,"")</f>
        <v/>
      </c>
      <c r="M182" s="14" t="str">
        <f t="shared" si="62"/>
        <v/>
      </c>
      <c r="N182" s="70" t="str">
        <f t="shared" si="81"/>
        <v/>
      </c>
      <c r="O182" s="39" t="str">
        <f t="shared" si="82"/>
        <v/>
      </c>
      <c r="P182" s="20" t="str">
        <f>IF(B182&lt;ROTTE!$B$1,B182,"")</f>
        <v/>
      </c>
      <c r="Q182" s="39" t="e">
        <f t="shared" si="85"/>
        <v>#N/A</v>
      </c>
      <c r="R182" s="39" t="e">
        <f t="shared" si="86"/>
        <v>#N/A</v>
      </c>
      <c r="T182" s="39">
        <f t="shared" si="61"/>
        <v>0</v>
      </c>
    </row>
    <row r="183" spans="1:20">
      <c r="A183" s="20">
        <f>A181+1</f>
        <v>22</v>
      </c>
      <c r="B183" s="20">
        <v>44</v>
      </c>
      <c r="C183" s="80">
        <f>$B$129*(A183-1)/$B$93</f>
        <v>5.6613339927178272E-5</v>
      </c>
      <c r="D183" s="70">
        <f>IF(I183&gt;=0,ASIN(SIN($D$101)*COS(C183)+COS($D$101)*SIN(C183)*COS($C$113)),ASIN(SIN($D$102)*COS(ABS(I183)*SIN($B$134)/SIN($B$135)/$B$93)+COS($D$102)*SIN(ABS(I183)*SIN($B$134)/SIN($B$135)/$B$93)*COS($C$117)))</f>
        <v>0.80056143265907787</v>
      </c>
      <c r="E183" s="70">
        <f>IF(I183&gt;=0,$E$101+ATAN2(COS(C183)-SIN($D$101)*SIN(D183),SIN($C$113)*SIN(C183)*COS($D$101)),$E$102+ATAN2(COS(ABS(I183)*SIN($B$134)/SIN($B$135)/$B$93)-SIN($D$102)*SIN(D183),SIN($C$117)*SIN(ABS(I183)*SIN($B$134)/SIN($B$135)/$B$93)*COS($D$102)))</f>
        <v>0.18789301303472308</v>
      </c>
      <c r="F183" s="14">
        <f t="shared" si="71"/>
        <v>45.868791332311822</v>
      </c>
      <c r="G183" s="14">
        <f t="shared" si="72"/>
        <v>10.765476646886198</v>
      </c>
      <c r="H183" s="39">
        <f t="shared" si="68"/>
        <v>360.78535432262044</v>
      </c>
      <c r="I183" s="39">
        <f>$E$113-H183</f>
        <v>-264.78606146475903</v>
      </c>
      <c r="K183" s="14" t="str">
        <f>IF(ROTTE!C72&lt;&gt;"",LN(TAN(D183/2+PI()/4)/TAN($D$140/2+PI()/4)),"")</f>
        <v/>
      </c>
      <c r="L183" s="14" t="str">
        <f>IF(ROTTE!D72&lt;&gt;"",E183-$E$140,"")</f>
        <v/>
      </c>
      <c r="M183" s="14" t="str">
        <f t="shared" si="62"/>
        <v/>
      </c>
      <c r="N183" s="70" t="str">
        <f t="shared" si="81"/>
        <v/>
      </c>
      <c r="O183" s="39" t="str">
        <f t="shared" si="82"/>
        <v/>
      </c>
      <c r="P183" s="20" t="str">
        <f>IF(B183&lt;ROTTE!$B$1,B183,"")</f>
        <v/>
      </c>
      <c r="Q183" s="39" t="e">
        <f t="shared" si="85"/>
        <v>#N/A</v>
      </c>
      <c r="R183" s="39" t="e">
        <f t="shared" si="86"/>
        <v>#N/A</v>
      </c>
      <c r="T183" s="39">
        <f t="shared" si="61"/>
        <v>0</v>
      </c>
    </row>
    <row r="184" spans="1:20">
      <c r="A184" s="20">
        <f>A183</f>
        <v>22</v>
      </c>
      <c r="B184" s="20">
        <v>45</v>
      </c>
      <c r="C184" s="80">
        <f>$B$131*(A184-1)/$B$93</f>
        <v>5.6086097479378646E-5</v>
      </c>
      <c r="D184" s="70">
        <f>IF(I184&gt;=0,ASIN(SIN($D$100)*COS(C184)+COS($D$100)*SIN(C184)*COS($C$121)),ASIN(SIN($D$103)*COS(ABS(I184)*SIN($B$132)/SIN($B$133)/$B$93)+COS($D$103)*SIN(ABS(I184)*SIN($B$132)/SIN($B$133)/$B$93)*COS($C$125)))</f>
        <v>0.80056143885151843</v>
      </c>
      <c r="E184" s="70">
        <f>IF(I184&gt;=0,$E$100+ATAN2(COS(C184)-SIN($D$100)*SIN(D184),SIN($C$121)*SIN(C184)*COS($D$100)),$E$103+ATAN2(COS(ABS(I184)*SIN($B$132)/SIN($B$133)/$B$93)-SIN($D$103)*SIN(D184),SIN($C$125)*SIN(ABS(I184)*SIN($B$132)/SIN($B$133)/$B$93)*COS($D$103)))</f>
        <v>0.18789301577893286</v>
      </c>
      <c r="F184" s="14">
        <f t="shared" ref="F184:F185" si="93">D184*180/PI()</f>
        <v>45.868791687112534</v>
      </c>
      <c r="G184" s="14">
        <f t="shared" ref="G184:G185" si="94">E184*180/PI()</f>
        <v>10.765476804117835</v>
      </c>
      <c r="H184" s="39">
        <f t="shared" si="68"/>
        <v>357.42534493988495</v>
      </c>
      <c r="I184" s="39">
        <f>$E$121-H184</f>
        <v>-137.21595115573987</v>
      </c>
      <c r="K184" s="14" t="str">
        <f>IF(ROTTE!C73&lt;&gt;"",LN(TAN(D184/2+PI()/4)/TAN($D$140/2+PI()/4)),"")</f>
        <v/>
      </c>
      <c r="L184" s="14" t="str">
        <f>IF(ROTTE!D73&lt;&gt;"",E184-$E$140,"")</f>
        <v/>
      </c>
      <c r="M184" s="14" t="str">
        <f t="shared" si="62"/>
        <v/>
      </c>
      <c r="N184" s="70" t="str">
        <f t="shared" si="81"/>
        <v/>
      </c>
      <c r="O184" s="39" t="str">
        <f t="shared" si="82"/>
        <v/>
      </c>
      <c r="P184" s="20" t="str">
        <f>IF(B184&lt;ROTTE!$B$1,B184,"")</f>
        <v/>
      </c>
      <c r="Q184" s="39" t="e">
        <f t="shared" si="85"/>
        <v>#N/A</v>
      </c>
      <c r="R184" s="39" t="e">
        <f t="shared" si="86"/>
        <v>#N/A</v>
      </c>
      <c r="T184" s="39">
        <f t="shared" si="61"/>
        <v>0</v>
      </c>
    </row>
    <row r="185" spans="1:20">
      <c r="A185" s="20">
        <f>A183+1</f>
        <v>23</v>
      </c>
      <c r="B185" s="20">
        <v>46</v>
      </c>
      <c r="C185" s="80">
        <f>$B$131*(A185-1)/$B$93</f>
        <v>5.8756864026015731E-5</v>
      </c>
      <c r="D185" s="70">
        <f>IF(I185&gt;=0,ASIN(SIN($D$100)*COS(C185)+COS($D$100)*SIN(C185)*COS($C$121)),ASIN(SIN($D$103)*COS(ABS(I185)*SIN($B$132)/SIN($B$133)/$B$93)+COS($D$103)*SIN(ABS(I185)*SIN($B$132)/SIN($B$133)/$B$93)*COS($C$125)))</f>
        <v>0.80056823265826915</v>
      </c>
      <c r="E185" s="70">
        <f>IF(I185&gt;=0,$E$100+ATAN2(COS(C185)-SIN($D$100)*SIN(D185),SIN($C$121)*SIN(C185)*COS($D$100)),$E$103+ATAN2(COS(ABS(I185)*SIN($B$132)/SIN($B$133)/$B$93)-SIN($D$103)*SIN(D185),SIN($C$125)*SIN(ABS(I185)*SIN($B$132)/SIN($B$133)/$B$93)*COS($D$103)))</f>
        <v>0.18788335954248528</v>
      </c>
      <c r="F185" s="14">
        <f t="shared" si="93"/>
        <v>45.869180943566178</v>
      </c>
      <c r="G185" s="14">
        <f t="shared" si="94"/>
        <v>10.764923542523409</v>
      </c>
      <c r="H185" s="39">
        <f t="shared" si="68"/>
        <v>374.44559946083189</v>
      </c>
      <c r="I185" s="39">
        <f>$E$121-H185</f>
        <v>-154.23620567668681</v>
      </c>
      <c r="K185" s="14" t="str">
        <f>IF(ROTTE!C74&lt;&gt;"",LN(TAN(D185/2+PI()/4)/TAN($D$140/2+PI()/4)),"")</f>
        <v/>
      </c>
      <c r="L185" s="14" t="str">
        <f>IF(ROTTE!D74&lt;&gt;"",E185-$E$140,"")</f>
        <v/>
      </c>
      <c r="M185" s="14" t="str">
        <f t="shared" si="62"/>
        <v/>
      </c>
      <c r="N185" s="70" t="str">
        <f t="shared" si="81"/>
        <v/>
      </c>
      <c r="O185" s="39" t="str">
        <f t="shared" si="82"/>
        <v/>
      </c>
      <c r="P185" s="20" t="str">
        <f>IF(B185&lt;ROTTE!$B$1,B185,"")</f>
        <v/>
      </c>
      <c r="Q185" s="39" t="e">
        <f t="shared" si="85"/>
        <v>#N/A</v>
      </c>
      <c r="R185" s="39" t="e">
        <f t="shared" si="86"/>
        <v>#N/A</v>
      </c>
      <c r="T185" s="39">
        <f t="shared" si="61"/>
        <v>0</v>
      </c>
    </row>
    <row r="186" spans="1:20">
      <c r="A186" s="20">
        <f>A185</f>
        <v>23</v>
      </c>
      <c r="B186" s="20">
        <v>47</v>
      </c>
      <c r="C186" s="80">
        <f>$B$129*(A186-1)/$B$93</f>
        <v>5.9309213257043905E-5</v>
      </c>
      <c r="D186" s="70">
        <f>IF(I186&gt;=0,ASIN(SIN($D$101)*COS(C186)+COS($D$101)*SIN(C186)*COS($C$113)),ASIN(SIN($D$102)*COS(ABS(I186)*SIN($B$134)/SIN($B$135)/$B$93)+COS($D$102)*SIN(ABS(I186)*SIN($B$134)/SIN($B$135)/$B$93)*COS($C$117)))</f>
        <v>0.80056822612334344</v>
      </c>
      <c r="E186" s="70">
        <f>IF(I186&gt;=0,$E$101+ATAN2(COS(C186)-SIN($D$101)*SIN(D186),SIN($C$113)*SIN(C186)*COS($D$101)),$E$102+ATAN2(COS(ABS(I186)*SIN($B$134)/SIN($B$135)/$B$93)-SIN($D$102)*SIN(D186),SIN($C$117)*SIN(ABS(I186)*SIN($B$134)/SIN($B$135)/$B$93)*COS($D$102)))</f>
        <v>0.18788335630136865</v>
      </c>
      <c r="F186" s="14">
        <f t="shared" si="71"/>
        <v>45.869180569142522</v>
      </c>
      <c r="G186" s="14">
        <f t="shared" si="72"/>
        <v>10.764923356821104</v>
      </c>
      <c r="H186" s="39">
        <f t="shared" si="68"/>
        <v>377.96560929036428</v>
      </c>
      <c r="I186" s="39">
        <f>$E$113-H186</f>
        <v>-281.96631643250288</v>
      </c>
      <c r="K186" s="14" t="str">
        <f>IF(ROTTE!C75&lt;&gt;"",LN(TAN(D186/2+PI()/4)/TAN($D$140/2+PI()/4)),"")</f>
        <v/>
      </c>
      <c r="L186" s="14" t="str">
        <f>IF(ROTTE!D75&lt;&gt;"",E186-$E$140,"")</f>
        <v/>
      </c>
      <c r="M186" s="14" t="str">
        <f t="shared" si="62"/>
        <v/>
      </c>
      <c r="N186" s="70" t="str">
        <f t="shared" si="81"/>
        <v/>
      </c>
      <c r="O186" s="39" t="str">
        <f t="shared" si="82"/>
        <v/>
      </c>
      <c r="P186" s="20" t="str">
        <f>IF(B186&lt;ROTTE!$B$1,B186,"")</f>
        <v/>
      </c>
      <c r="Q186" s="39" t="e">
        <f t="shared" si="85"/>
        <v>#N/A</v>
      </c>
      <c r="R186" s="39" t="e">
        <f t="shared" si="86"/>
        <v>#N/A</v>
      </c>
      <c r="T186" s="39">
        <f t="shared" si="61"/>
        <v>0</v>
      </c>
    </row>
    <row r="187" spans="1:20">
      <c r="A187" s="20">
        <f>A185+1</f>
        <v>24</v>
      </c>
      <c r="B187" s="20">
        <v>48</v>
      </c>
      <c r="C187" s="80">
        <f>$B$129*(A187-1)/$B$93</f>
        <v>6.2005086586909545E-5</v>
      </c>
      <c r="D187" s="70">
        <f>IF(I187&gt;=0,ASIN(SIN($D$101)*COS(C187)+COS($D$101)*SIN(C187)*COS($C$113)),ASIN(SIN($D$102)*COS(ABS(I187)*SIN($B$134)/SIN($B$135)/$B$93)+COS($D$102)*SIN(ABS(I187)*SIN($B$134)/SIN($B$135)/$B$93)*COS($C$117)))</f>
        <v>0.80057501954100396</v>
      </c>
      <c r="E187" s="70">
        <f>IF(I187&gt;=0,$E$101+ATAN2(COS(C187)-SIN($D$101)*SIN(D187),SIN($C$113)*SIN(C187)*COS($D$101)),$E$102+ATAN2(COS(ABS(I187)*SIN($B$134)/SIN($B$135)/$B$93)-SIN($D$102)*SIN(D187),SIN($C$117)*SIN(ABS(I187)*SIN($B$134)/SIN($B$135)/$B$93)*COS($D$102)))</f>
        <v>0.18787369943276597</v>
      </c>
      <c r="F187" s="14">
        <f t="shared" si="71"/>
        <v>45.869569803302937</v>
      </c>
      <c r="G187" s="14">
        <f t="shared" si="72"/>
        <v>10.764370059006859</v>
      </c>
      <c r="H187" s="39">
        <f t="shared" si="68"/>
        <v>395.14586425810819</v>
      </c>
      <c r="I187" s="39">
        <f>$E$113-H187</f>
        <v>-299.14657140024678</v>
      </c>
      <c r="K187" s="14" t="str">
        <f>IF(ROTTE!C76&lt;&gt;"",LN(TAN(D187/2+PI()/4)/TAN($D$140/2+PI()/4)),"")</f>
        <v/>
      </c>
      <c r="L187" s="14" t="str">
        <f>IF(ROTTE!D76&lt;&gt;"",E187-$E$140,"")</f>
        <v/>
      </c>
      <c r="M187" s="14" t="str">
        <f t="shared" si="62"/>
        <v/>
      </c>
      <c r="N187" s="70" t="str">
        <f t="shared" si="81"/>
        <v/>
      </c>
      <c r="O187" s="39" t="str">
        <f t="shared" si="82"/>
        <v/>
      </c>
      <c r="P187" s="20" t="str">
        <f>IF(B187&lt;ROTTE!$B$1,B187,"")</f>
        <v/>
      </c>
      <c r="Q187" s="39" t="e">
        <f t="shared" si="85"/>
        <v>#N/A</v>
      </c>
      <c r="R187" s="39" t="e">
        <f t="shared" si="86"/>
        <v>#N/A</v>
      </c>
      <c r="T187" s="39">
        <f t="shared" si="61"/>
        <v>0</v>
      </c>
    </row>
    <row r="188" spans="1:20">
      <c r="A188" s="20">
        <f>A187</f>
        <v>24</v>
      </c>
      <c r="B188" s="20">
        <v>49</v>
      </c>
      <c r="C188" s="80">
        <f>$B$131*(A188-1)/$B$93</f>
        <v>6.1427630572652802E-5</v>
      </c>
      <c r="D188" s="70">
        <f>IF(I188&gt;=0,ASIN(SIN($D$100)*COS(C188)+COS($D$100)*SIN(C188)*COS($C$121)),ASIN(SIN($D$103)*COS(ABS(I188)*SIN($B$132)/SIN($B$133)/$B$93)+COS($D$103)*SIN(ABS(I188)*SIN($B$132)/SIN($B$133)/$B$93)*COS($C$125)))</f>
        <v>0.80057502641841938</v>
      </c>
      <c r="E188" s="70">
        <f>IF(I188&gt;=0,$E$100+ATAN2(COS(C188)-SIN($D$100)*SIN(D188),SIN($C$121)*SIN(C188)*COS($D$100)),$E$103+ATAN2(COS(ABS(I188)*SIN($B$132)/SIN($B$133)/$B$93)-SIN($D$103)*SIN(D188),SIN($C$125)*SIN(ABS(I188)*SIN($B$132)/SIN($B$133)/$B$93)*COS($D$103)))</f>
        <v>0.18787370317078955</v>
      </c>
      <c r="F188" s="14">
        <f t="shared" ref="F188:F189" si="95">D188*180/PI()</f>
        <v>45.869570197349816</v>
      </c>
      <c r="G188" s="14">
        <f t="shared" ref="G188:G189" si="96">E188*180/PI()</f>
        <v>10.764370273179834</v>
      </c>
      <c r="H188" s="39">
        <f t="shared" si="68"/>
        <v>391.46585398177876</v>
      </c>
      <c r="I188" s="39">
        <f>$E$121-H188</f>
        <v>-171.25646019763369</v>
      </c>
      <c r="K188" s="14" t="str">
        <f>IF(ROTTE!C77&lt;&gt;"",LN(TAN(D188/2+PI()/4)/TAN($D$140/2+PI()/4)),"")</f>
        <v/>
      </c>
      <c r="L188" s="14" t="str">
        <f>IF(ROTTE!D77&lt;&gt;"",E188-$E$140,"")</f>
        <v/>
      </c>
      <c r="M188" s="14" t="str">
        <f t="shared" si="62"/>
        <v/>
      </c>
      <c r="N188" s="70" t="str">
        <f t="shared" si="81"/>
        <v/>
      </c>
      <c r="O188" s="39" t="str">
        <f t="shared" si="82"/>
        <v/>
      </c>
      <c r="P188" s="20" t="str">
        <f>IF(B188&lt;ROTTE!$B$1,B188,"")</f>
        <v/>
      </c>
      <c r="Q188" s="39" t="e">
        <f t="shared" si="85"/>
        <v>#N/A</v>
      </c>
      <c r="R188" s="39" t="e">
        <f t="shared" si="86"/>
        <v>#N/A</v>
      </c>
      <c r="T188" s="39">
        <f t="shared" si="61"/>
        <v>0</v>
      </c>
    </row>
    <row r="189" spans="1:20">
      <c r="A189" s="20">
        <f>A187+1</f>
        <v>25</v>
      </c>
      <c r="B189" s="20">
        <v>50</v>
      </c>
      <c r="C189" s="80">
        <f>$B$131*(A189-1)/$B$93</f>
        <v>6.4098397119289881E-5</v>
      </c>
      <c r="D189" s="70">
        <f>IF(I189&gt;=0,ASIN(SIN($D$100)*COS(C189)+COS($D$100)*SIN(C189)*COS($C$121)),ASIN(SIN($D$103)*COS(ABS(I189)*SIN($B$132)/SIN($B$133)/$B$93)+COS($D$103)*SIN(ABS(I189)*SIN($B$132)/SIN($B$133)/$B$93)*COS($C$125)))</f>
        <v>0.80058182013196799</v>
      </c>
      <c r="E189" s="70">
        <f>IF(I189&gt;=0,$E$100+ATAN2(COS(C189)-SIN($D$100)*SIN(D189),SIN($C$121)*SIN(C189)*COS($D$100)),$E$103+ATAN2(COS(ABS(I189)*SIN($B$132)/SIN($B$133)/$B$93)-SIN($D$103)*SIN(D189),SIN($C$125)*SIN(ABS(I189)*SIN($B$132)/SIN($B$133)/$B$93)*COS($D$103)))</f>
        <v>0.18786404666384293</v>
      </c>
      <c r="F189" s="14">
        <f t="shared" si="95"/>
        <v>45.869959448463369</v>
      </c>
      <c r="G189" s="14">
        <f t="shared" si="96"/>
        <v>10.763816996086952</v>
      </c>
      <c r="H189" s="39">
        <f t="shared" si="68"/>
        <v>408.48610850272564</v>
      </c>
      <c r="I189" s="39">
        <f>$E$121-H189</f>
        <v>-188.27671471858056</v>
      </c>
      <c r="K189" s="14" t="str">
        <f>IF(ROTTE!C78&lt;&gt;"",LN(TAN(D189/2+PI()/4)/TAN($D$140/2+PI()/4)),"")</f>
        <v/>
      </c>
      <c r="L189" s="14" t="str">
        <f>IF(ROTTE!D78&lt;&gt;"",E189-$E$140,"")</f>
        <v/>
      </c>
      <c r="M189" s="14" t="str">
        <f t="shared" si="62"/>
        <v/>
      </c>
      <c r="N189" s="70" t="str">
        <f t="shared" si="81"/>
        <v/>
      </c>
      <c r="O189" s="39" t="str">
        <f t="shared" si="82"/>
        <v/>
      </c>
      <c r="P189" s="20" t="str">
        <f>IF(B189&lt;ROTTE!$B$1,B189,"")</f>
        <v/>
      </c>
      <c r="Q189" s="39" t="e">
        <f t="shared" si="85"/>
        <v>#N/A</v>
      </c>
      <c r="R189" s="39" t="e">
        <f t="shared" si="86"/>
        <v>#N/A</v>
      </c>
      <c r="T189" s="39">
        <f t="shared" si="61"/>
        <v>0</v>
      </c>
    </row>
    <row r="190" spans="1:20">
      <c r="A190" s="20">
        <f>A189</f>
        <v>25</v>
      </c>
      <c r="B190" s="20">
        <v>51</v>
      </c>
      <c r="C190" s="80">
        <f>$B$129*(A190-1)/$B$93</f>
        <v>6.4700959916775164E-5</v>
      </c>
      <c r="D190" s="70">
        <f>IF(I190&gt;=0,ASIN(SIN($D$101)*COS(C190)+COS($D$101)*SIN(C190)*COS($C$113)),ASIN(SIN($D$102)*COS(ABS(I190)*SIN($B$134)/SIN($B$135)/$B$93)+COS($D$102)*SIN(ABS(I190)*SIN($B$134)/SIN($B$135)/$B$93)*COS($C$117)))</f>
        <v>0.80058181291205766</v>
      </c>
      <c r="E190" s="70">
        <f>IF(I190&gt;=0,$E$101+ATAN2(COS(C190)-SIN($D$101)*SIN(D190),SIN($C$113)*SIN(C190)*COS($D$101)),$E$102+ATAN2(COS(ABS(I190)*SIN($B$134)/SIN($B$135)/$B$93)-SIN($D$102)*SIN(D190),SIN($C$117)*SIN(ABS(I190)*SIN($B$134)/SIN($B$135)/$B$93)*COS($D$102)))</f>
        <v>0.18786404242891222</v>
      </c>
      <c r="F190" s="14">
        <f t="shared" si="71"/>
        <v>45.869959034792977</v>
      </c>
      <c r="G190" s="14">
        <f t="shared" si="72"/>
        <v>10.763816753443297</v>
      </c>
      <c r="H190" s="39">
        <f t="shared" si="68"/>
        <v>412.32611922585193</v>
      </c>
      <c r="I190" s="39">
        <f>$E$113-H190</f>
        <v>-316.32682636799052</v>
      </c>
      <c r="K190" s="14" t="str">
        <f>IF(ROTTE!C79&lt;&gt;"",LN(TAN(D190/2+PI()/4)/TAN($D$140/2+PI()/4)),"")</f>
        <v/>
      </c>
      <c r="L190" s="14" t="str">
        <f>IF(ROTTE!D79&lt;&gt;"",E190-$E$140,"")</f>
        <v/>
      </c>
      <c r="M190" s="14" t="str">
        <f t="shared" si="62"/>
        <v/>
      </c>
      <c r="N190" s="70" t="str">
        <f t="shared" si="81"/>
        <v/>
      </c>
      <c r="O190" s="39" t="str">
        <f t="shared" si="82"/>
        <v/>
      </c>
      <c r="P190" s="20" t="str">
        <f>IF(B190&lt;ROTTE!$B$1,B190,"")</f>
        <v/>
      </c>
      <c r="Q190" s="39" t="e">
        <f t="shared" si="85"/>
        <v>#N/A</v>
      </c>
      <c r="R190" s="39" t="e">
        <f t="shared" si="86"/>
        <v>#N/A</v>
      </c>
      <c r="T190" s="39">
        <f t="shared" si="61"/>
        <v>0</v>
      </c>
    </row>
    <row r="191" spans="1:20">
      <c r="A191" s="20">
        <f>A189+1</f>
        <v>26</v>
      </c>
      <c r="B191" s="20">
        <v>52</v>
      </c>
      <c r="C191" s="80">
        <f>$B$129*(A191-1)/$B$93</f>
        <v>6.7396833246640797E-5</v>
      </c>
      <c r="D191" s="70">
        <f>IF(I191&gt;=0,ASIN(SIN($D$101)*COS(C191)+COS($D$101)*SIN(C191)*COS($C$113)),ASIN(SIN($D$102)*COS(ABS(I191)*SIN($B$134)/SIN($B$135)/$B$93)+COS($D$102)*SIN(ABS(I191)*SIN($B$134)/SIN($B$135)/$B$93)*COS($C$117)))</f>
        <v>0.8005886062365033</v>
      </c>
      <c r="E191" s="70">
        <f>IF(I191&gt;=0,$E$101+ATAN2(COS(C191)-SIN($D$101)*SIN(D191),SIN($C$113)*SIN(C191)*COS($D$101)),$E$102+ATAN2(COS(ABS(I191)*SIN($B$134)/SIN($B$135)/$B$93)-SIN($D$102)*SIN(D191),SIN($C$117)*SIN(ABS(I191)*SIN($B$134)/SIN($B$135)/$B$93)*COS($D$102)))</f>
        <v>0.18785438528980461</v>
      </c>
      <c r="F191" s="14">
        <f t="shared" si="71"/>
        <v>45.870348263612577</v>
      </c>
      <c r="G191" s="14">
        <f t="shared" si="72"/>
        <v>10.763263440130261</v>
      </c>
      <c r="H191" s="39">
        <f t="shared" si="68"/>
        <v>429.50637419359578</v>
      </c>
      <c r="I191" s="39">
        <f>$E$113-H191</f>
        <v>-333.50708133573437</v>
      </c>
      <c r="K191" s="14" t="str">
        <f>IF(ROTTE!C80&lt;&gt;"",LN(TAN(D191/2+PI()/4)/TAN($D$140/2+PI()/4)),"")</f>
        <v/>
      </c>
      <c r="L191" s="14" t="str">
        <f>IF(ROTTE!D80&lt;&gt;"",E191-$E$140,"")</f>
        <v/>
      </c>
      <c r="M191" s="14" t="str">
        <f t="shared" si="62"/>
        <v/>
      </c>
      <c r="N191" s="70" t="str">
        <f t="shared" si="81"/>
        <v/>
      </c>
      <c r="O191" s="39" t="str">
        <f t="shared" si="82"/>
        <v/>
      </c>
      <c r="P191" s="20" t="str">
        <f>IF(B191&lt;ROTTE!$B$1,B191,"")</f>
        <v/>
      </c>
      <c r="Q191" s="39" t="e">
        <f t="shared" si="85"/>
        <v>#N/A</v>
      </c>
      <c r="R191" s="39" t="e">
        <f t="shared" si="86"/>
        <v>#N/A</v>
      </c>
      <c r="T191" s="39">
        <f t="shared" si="61"/>
        <v>0</v>
      </c>
    </row>
    <row r="192" spans="1:20">
      <c r="A192" s="20">
        <f>A191</f>
        <v>26</v>
      </c>
      <c r="B192" s="20">
        <v>53</v>
      </c>
      <c r="C192" s="80">
        <f>$B$131*(A192-1)/$B$93</f>
        <v>6.6769163665926959E-5</v>
      </c>
      <c r="D192" s="70">
        <f>IF(I192&gt;=0,ASIN(SIN($D$100)*COS(C192)+COS($D$100)*SIN(C192)*COS($C$121)),ASIN(SIN($D$103)*COS(ABS(I192)*SIN($B$132)/SIN($B$133)/$B$93)+COS($D$103)*SIN(ABS(I192)*SIN($B$132)/SIN($B$133)/$B$93)*COS($C$125)))</f>
        <v>0.800588613798913</v>
      </c>
      <c r="E192" s="70">
        <f>IF(I192&gt;=0,$E$100+ATAN2(COS(C192)-SIN($D$100)*SIN(D192),SIN($C$121)*SIN(C192)*COS($D$100)),$E$103+ATAN2(COS(ABS(I192)*SIN($B$132)/SIN($B$133)/$B$93)-SIN($D$103)*SIN(D192),SIN($C$125)*SIN(ABS(I192)*SIN($B$132)/SIN($B$133)/$B$93)*COS($D$103)))</f>
        <v>0.18785439002164259</v>
      </c>
      <c r="F192" s="14">
        <f t="shared" ref="F192:F193" si="97">D192*180/PI()</f>
        <v>45.870348696906738</v>
      </c>
      <c r="G192" s="14">
        <f t="shared" ref="G192:G193" si="98">E192*180/PI()</f>
        <v>10.763263711244605</v>
      </c>
      <c r="H192" s="39">
        <f t="shared" si="68"/>
        <v>425.50636302367252</v>
      </c>
      <c r="I192" s="39">
        <f>$E$121-H192</f>
        <v>-205.29696923952744</v>
      </c>
      <c r="K192" s="14" t="str">
        <f>IF(ROTTE!C81&lt;&gt;"",LN(TAN(D192/2+PI()/4)/TAN($D$140/2+PI()/4)),"")</f>
        <v/>
      </c>
      <c r="L192" s="14" t="str">
        <f>IF(ROTTE!D81&lt;&gt;"",E192-$E$140,"")</f>
        <v/>
      </c>
      <c r="M192" s="14" t="str">
        <f t="shared" si="62"/>
        <v/>
      </c>
      <c r="N192" s="70" t="str">
        <f t="shared" si="81"/>
        <v/>
      </c>
      <c r="O192" s="39" t="str">
        <f t="shared" si="82"/>
        <v/>
      </c>
      <c r="P192" s="20" t="str">
        <f>IF(B192&lt;ROTTE!$B$1,B192,"")</f>
        <v/>
      </c>
      <c r="Q192" s="39" t="e">
        <f t="shared" si="85"/>
        <v>#N/A</v>
      </c>
      <c r="R192" s="39" t="e">
        <f t="shared" si="86"/>
        <v>#N/A</v>
      </c>
      <c r="T192" s="39">
        <f t="shared" si="61"/>
        <v>0</v>
      </c>
    </row>
    <row r="193" spans="1:20">
      <c r="A193" s="20">
        <f>A191+1</f>
        <v>27</v>
      </c>
      <c r="B193" s="20">
        <v>54</v>
      </c>
      <c r="C193" s="80">
        <f>$B$131*(A193-1)/$B$93</f>
        <v>6.9439930212564037E-5</v>
      </c>
      <c r="D193" s="70">
        <f>IF(I193&gt;=0,ASIN(SIN($D$100)*COS(C193)+COS($D$100)*SIN(C193)*COS($C$121)),ASIN(SIN($D$103)*COS(ABS(I193)*SIN($B$132)/SIN($B$133)/$B$93)+COS($D$103)*SIN(ABS(I193)*SIN($B$132)/SIN($B$133)/$B$93)*COS($C$125)))</f>
        <v>0.80059540741925361</v>
      </c>
      <c r="E193" s="70">
        <f>IF(I193&gt;=0,$E$100+ATAN2(COS(C193)-SIN($D$100)*SIN(D193),SIN($C$121)*SIN(C193)*COS($D$100)),$E$103+ATAN2(COS(ABS(I193)*SIN($B$132)/SIN($B$133)/$B$93)-SIN($D$103)*SIN(D193),SIN($C$125)*SIN(ABS(I193)*SIN($B$132)/SIN($B$133)/$B$93)*COS($D$103)))</f>
        <v>0.18784473324418571</v>
      </c>
      <c r="F193" s="14">
        <f t="shared" si="97"/>
        <v>45.870737942679867</v>
      </c>
      <c r="G193" s="14">
        <f t="shared" si="98"/>
        <v>10.762710418652631</v>
      </c>
      <c r="H193" s="39">
        <f t="shared" si="68"/>
        <v>442.52661754461946</v>
      </c>
      <c r="I193" s="39">
        <f>$E$121-H193</f>
        <v>-222.31722376047438</v>
      </c>
      <c r="K193" s="14" t="str">
        <f>IF(ROTTE!C82&lt;&gt;"",LN(TAN(D193/2+PI()/4)/TAN($D$140/2+PI()/4)),"")</f>
        <v/>
      </c>
      <c r="L193" s="14" t="str">
        <f>IF(ROTTE!D82&lt;&gt;"",E193-$E$140,"")</f>
        <v/>
      </c>
      <c r="M193" s="14" t="str">
        <f t="shared" si="62"/>
        <v/>
      </c>
      <c r="N193" s="70" t="str">
        <f t="shared" si="81"/>
        <v/>
      </c>
      <c r="O193" s="39" t="str">
        <f t="shared" si="82"/>
        <v/>
      </c>
      <c r="P193" s="20" t="str">
        <f>IF(B193&lt;ROTTE!$B$1,B193,"")</f>
        <v/>
      </c>
      <c r="Q193" s="39" t="e">
        <f t="shared" si="85"/>
        <v>#N/A</v>
      </c>
      <c r="R193" s="39" t="e">
        <f t="shared" si="86"/>
        <v>#N/A</v>
      </c>
      <c r="T193" s="39">
        <f t="shared" si="61"/>
        <v>0</v>
      </c>
    </row>
    <row r="194" spans="1:20">
      <c r="A194" s="20">
        <f>A193</f>
        <v>27</v>
      </c>
      <c r="B194" s="20">
        <v>55</v>
      </c>
      <c r="C194" s="80">
        <f>$B$129*(A194-1)/$B$93</f>
        <v>7.009270657650643E-5</v>
      </c>
      <c r="D194" s="70">
        <f>IF(I194&gt;=0,ASIN(SIN($D$101)*COS(C194)+COS($D$101)*SIN(C194)*COS($C$113)),ASIN(SIN($D$102)*COS(ABS(I194)*SIN($B$134)/SIN($B$135)/$B$93)+COS($D$102)*SIN(ABS(I194)*SIN($B$134)/SIN($B$135)/$B$93)*COS($C$117)))</f>
        <v>0.80059539951433945</v>
      </c>
      <c r="E194" s="70">
        <f>IF(I194&gt;=0,$E$101+ATAN2(COS(C194)-SIN($D$101)*SIN(D194),SIN($C$113)*SIN(C194)*COS($D$101)),$E$102+ATAN2(COS(ABS(I194)*SIN($B$134)/SIN($B$135)/$B$93)-SIN($D$102)*SIN(D194),SIN($C$117)*SIN(ABS(I194)*SIN($B$134)/SIN($B$135)/$B$93)*COS($D$102)))</f>
        <v>0.18784472801544033</v>
      </c>
      <c r="F194" s="14">
        <f t="shared" si="71"/>
        <v>45.870737489761645</v>
      </c>
      <c r="G194" s="14">
        <f t="shared" si="72"/>
        <v>10.762710119067588</v>
      </c>
      <c r="H194" s="39">
        <f t="shared" si="68"/>
        <v>446.68662916133957</v>
      </c>
      <c r="I194" s="39">
        <f>$E$113-H194</f>
        <v>-350.68733630347816</v>
      </c>
      <c r="K194" s="14" t="str">
        <f>IF(ROTTE!C83&lt;&gt;"",LN(TAN(D194/2+PI()/4)/TAN($D$140/2+PI()/4)),"")</f>
        <v/>
      </c>
      <c r="L194" s="14" t="str">
        <f>IF(ROTTE!D83&lt;&gt;"",E194-$E$140,"")</f>
        <v/>
      </c>
      <c r="M194" s="14" t="str">
        <f t="shared" si="62"/>
        <v/>
      </c>
      <c r="N194" s="70" t="str">
        <f t="shared" si="81"/>
        <v/>
      </c>
      <c r="O194" s="39" t="str">
        <f t="shared" si="82"/>
        <v/>
      </c>
      <c r="P194" s="20" t="str">
        <f>IF(B194&lt;ROTTE!$B$1,B194,"")</f>
        <v/>
      </c>
      <c r="Q194" s="39" t="e">
        <f t="shared" si="85"/>
        <v>#N/A</v>
      </c>
      <c r="R194" s="39" t="e">
        <f t="shared" si="86"/>
        <v>#N/A</v>
      </c>
      <c r="T194" s="39">
        <f t="shared" si="61"/>
        <v>0</v>
      </c>
    </row>
    <row r="195" spans="1:20">
      <c r="A195" s="20">
        <f>A193+1</f>
        <v>28</v>
      </c>
      <c r="B195" s="20">
        <v>56</v>
      </c>
      <c r="C195" s="80">
        <f>$B$129*(A195-1)/$B$93</f>
        <v>7.2788579906372076E-5</v>
      </c>
      <c r="D195" s="70">
        <f>IF(I195&gt;=0,ASIN(SIN($D$101)*COS(C195)+COS($D$101)*SIN(C195)*COS($C$113)),ASIN(SIN($D$102)*COS(ABS(I195)*SIN($B$134)/SIN($B$135)/$B$93)+COS($D$102)*SIN(ABS(I195)*SIN($B$134)/SIN($B$135)/$B$93)*COS($C$117)))</f>
        <v>0.80060219274556532</v>
      </c>
      <c r="E195" s="70">
        <f>IF(I195&gt;=0,$E$101+ATAN2(COS(C195)-SIN($D$101)*SIN(D195),SIN($C$113)*SIN(C195)*COS($D$101)),$E$102+ATAN2(COS(ABS(I195)*SIN($B$134)/SIN($B$135)/$B$93)-SIN($D$102)*SIN(D195),SIN($C$117)*SIN(ABS(I195)*SIN($B$134)/SIN($B$135)/$B$93)*COS($D$102)))</f>
        <v>0.18783507060581661</v>
      </c>
      <c r="F195" s="14">
        <f t="shared" si="71"/>
        <v>45.871126713240152</v>
      </c>
      <c r="G195" s="14">
        <f t="shared" si="72"/>
        <v>10.762156790255119</v>
      </c>
      <c r="H195" s="39">
        <f t="shared" si="68"/>
        <v>463.86688412908353</v>
      </c>
      <c r="I195" s="39">
        <f>$E$113-H195</f>
        <v>-367.86759127122212</v>
      </c>
      <c r="K195" s="14" t="str">
        <f>IF(ROTTE!C84&lt;&gt;"",LN(TAN(D195/2+PI()/4)/TAN($D$140/2+PI()/4)),"")</f>
        <v/>
      </c>
      <c r="L195" s="14" t="str">
        <f>IF(ROTTE!D84&lt;&gt;"",E195-$E$140,"")</f>
        <v/>
      </c>
      <c r="M195" s="14" t="str">
        <f t="shared" si="62"/>
        <v/>
      </c>
      <c r="N195" s="70" t="str">
        <f t="shared" si="81"/>
        <v/>
      </c>
      <c r="O195" s="39" t="str">
        <f t="shared" si="82"/>
        <v/>
      </c>
      <c r="P195" s="20" t="str">
        <f>IF(B195&lt;ROTTE!$B$1,B195,"")</f>
        <v/>
      </c>
      <c r="Q195" s="39" t="e">
        <f t="shared" si="85"/>
        <v>#N/A</v>
      </c>
      <c r="R195" s="39" t="e">
        <f t="shared" si="86"/>
        <v>#N/A</v>
      </c>
      <c r="T195" s="39">
        <f t="shared" si="61"/>
        <v>0</v>
      </c>
    </row>
    <row r="196" spans="1:20">
      <c r="A196" s="20">
        <f>A195</f>
        <v>28</v>
      </c>
      <c r="B196" s="20">
        <v>57</v>
      </c>
      <c r="C196" s="80">
        <f>$B$131*(A196-1)/$B$93</f>
        <v>7.2110696759201116E-5</v>
      </c>
      <c r="D196" s="70">
        <f>IF(I196&gt;=0,ASIN(SIN($D$100)*COS(C196)+COS($D$100)*SIN(C196)*COS($C$121)),ASIN(SIN($D$103)*COS(ABS(I196)*SIN($B$132)/SIN($B$133)/$B$93)+COS($D$103)*SIN(ABS(I196)*SIN($B$132)/SIN($B$133)/$B$93)*COS($C$125)))</f>
        <v>0.8006022009929884</v>
      </c>
      <c r="E196" s="70">
        <f>IF(I196&gt;=0,$E$100+ATAN2(COS(C196)-SIN($D$100)*SIN(D196),SIN($C$121)*SIN(C196)*COS($D$100)),$E$103+ATAN2(COS(ABS(I196)*SIN($B$132)/SIN($B$133)/$B$93)-SIN($D$103)*SIN(D196),SIN($C$125)*SIN(ABS(I196)*SIN($B$132)/SIN($B$133)/$B$93)*COS($D$103)))</f>
        <v>0.18783507633146951</v>
      </c>
      <c r="F196" s="14">
        <f t="shared" ref="F196:F197" si="99">D196*180/PI()</f>
        <v>45.871127185782676</v>
      </c>
      <c r="G196" s="14">
        <f t="shared" ref="G196:G197" si="100">E196*180/PI()</f>
        <v>10.762157118310864</v>
      </c>
      <c r="H196" s="39">
        <f t="shared" si="68"/>
        <v>459.54687206556633</v>
      </c>
      <c r="I196" s="39">
        <f>$E$121-H196</f>
        <v>-239.33747828142126</v>
      </c>
      <c r="K196" s="14" t="str">
        <f>IF(ROTTE!C85&lt;&gt;"",LN(TAN(D196/2+PI()/4)/TAN($D$140/2+PI()/4)),"")</f>
        <v/>
      </c>
      <c r="L196" s="14" t="str">
        <f>IF(ROTTE!D85&lt;&gt;"",E196-$E$140,"")</f>
        <v/>
      </c>
      <c r="M196" s="14" t="str">
        <f t="shared" si="62"/>
        <v/>
      </c>
      <c r="N196" s="70" t="str">
        <f t="shared" si="81"/>
        <v/>
      </c>
      <c r="O196" s="39" t="str">
        <f t="shared" si="82"/>
        <v/>
      </c>
      <c r="P196" s="20" t="str">
        <f>IF(B196&lt;ROTTE!$B$1,B196,"")</f>
        <v/>
      </c>
      <c r="Q196" s="39" t="e">
        <f t="shared" si="85"/>
        <v>#N/A</v>
      </c>
      <c r="R196" s="39" t="e">
        <f t="shared" si="86"/>
        <v>#N/A</v>
      </c>
      <c r="T196" s="39">
        <f t="shared" si="61"/>
        <v>0</v>
      </c>
    </row>
    <row r="197" spans="1:20">
      <c r="A197" s="20">
        <f>A195+1</f>
        <v>29</v>
      </c>
      <c r="B197" s="20">
        <v>58</v>
      </c>
      <c r="C197" s="80">
        <f>$B$131*(A197-1)/$B$93</f>
        <v>7.4781463305838194E-5</v>
      </c>
      <c r="D197" s="70">
        <f>IF(I197&gt;=0,ASIN(SIN($D$100)*COS(C197)+COS($D$100)*SIN(C197)*COS($C$121)),ASIN(SIN($D$103)*COS(ABS(I197)*SIN($B$132)/SIN($B$133)/$B$93)+COS($D$103)*SIN(ABS(I197)*SIN($B$132)/SIN($B$133)/$B$93)*COS($C$125)))</f>
        <v>0.80060899452011625</v>
      </c>
      <c r="E197" s="70">
        <f>IF(I197&gt;=0,$E$100+ATAN2(COS(C197)-SIN($D$100)*SIN(D197),SIN($C$121)*SIN(C197)*COS($D$100)),$E$103+ATAN2(COS(ABS(I197)*SIN($B$132)/SIN($B$133)/$B$93)-SIN($D$103)*SIN(D197),SIN($C$125)*SIN(ABS(I197)*SIN($B$132)/SIN($B$133)/$B$93)*COS($D$103)))</f>
        <v>0.18782541928349117</v>
      </c>
      <c r="F197" s="14">
        <f t="shared" si="99"/>
        <v>45.871516426215109</v>
      </c>
      <c r="G197" s="14">
        <f t="shared" si="100"/>
        <v>10.761603810219151</v>
      </c>
      <c r="H197" s="39">
        <f t="shared" si="68"/>
        <v>476.56712658651327</v>
      </c>
      <c r="I197" s="39">
        <f>$E$121-H197</f>
        <v>-256.35773280236822</v>
      </c>
      <c r="K197" s="14" t="str">
        <f>IF(ROTTE!C86&lt;&gt;"",LN(TAN(D197/2+PI()/4)/TAN($D$140/2+PI()/4)),"")</f>
        <v/>
      </c>
      <c r="L197" s="14" t="str">
        <f>IF(ROTTE!D86&lt;&gt;"",E197-$E$140,"")</f>
        <v/>
      </c>
      <c r="M197" s="14" t="str">
        <f t="shared" si="62"/>
        <v/>
      </c>
      <c r="N197" s="70" t="str">
        <f t="shared" si="81"/>
        <v/>
      </c>
      <c r="O197" s="39" t="str">
        <f t="shared" si="82"/>
        <v/>
      </c>
      <c r="P197" s="20" t="str">
        <f>IF(B197&lt;ROTTE!$B$1,B197,"")</f>
        <v/>
      </c>
      <c r="Q197" s="39" t="e">
        <f t="shared" si="85"/>
        <v>#N/A</v>
      </c>
      <c r="R197" s="39" t="e">
        <f t="shared" si="86"/>
        <v>#N/A</v>
      </c>
      <c r="T197" s="39">
        <f t="shared" si="61"/>
        <v>0</v>
      </c>
    </row>
    <row r="198" spans="1:20">
      <c r="A198" s="20">
        <f>A197</f>
        <v>29</v>
      </c>
      <c r="B198" s="20">
        <v>59</v>
      </c>
      <c r="C198" s="80">
        <f>$B$129*(A198-1)/$B$93</f>
        <v>7.5484453236237696E-5</v>
      </c>
      <c r="D198" s="70">
        <f>IF(I198&gt;=0,ASIN(SIN($D$101)*COS(C198)+COS($D$101)*SIN(C198)*COS($C$113)),ASIN(SIN($D$102)*COS(ABS(I198)*SIN($B$134)/SIN($B$135)/$B$93)+COS($D$102)*SIN(ABS(I198)*SIN($B$134)/SIN($B$135)/$B$93)*COS($C$117)))</f>
        <v>0.80060898593017904</v>
      </c>
      <c r="E198" s="70">
        <f>IF(I198&gt;=0,$E$101+ATAN2(COS(C198)-SIN($D$101)*SIN(D198),SIN($C$113)*SIN(C198)*COS($D$101)),$E$102+ATAN2(COS(ABS(I198)*SIN($B$134)/SIN($B$135)/$B$93)-SIN($D$102)*SIN(D198),SIN($C$117)*SIN(ABS(I198)*SIN($B$134)/SIN($B$135)/$B$93)*COS($D$102)))</f>
        <v>0.18782541306093059</v>
      </c>
      <c r="F198" s="14">
        <f t="shared" si="71"/>
        <v>45.87151593404797</v>
      </c>
      <c r="G198" s="14">
        <f t="shared" si="72"/>
        <v>10.761603453692691</v>
      </c>
      <c r="H198" s="39">
        <f t="shared" si="68"/>
        <v>481.04713909682727</v>
      </c>
      <c r="I198" s="39">
        <f>$E$113-H198</f>
        <v>-385.04784623896586</v>
      </c>
      <c r="K198" s="14" t="str">
        <f>IF(ROTTE!C87&lt;&gt;"",LN(TAN(D198/2+PI()/4)/TAN($D$140/2+PI()/4)),"")</f>
        <v/>
      </c>
      <c r="L198" s="14" t="str">
        <f>IF(ROTTE!D87&lt;&gt;"",E198-$E$140,"")</f>
        <v/>
      </c>
      <c r="M198" s="14" t="str">
        <f t="shared" si="62"/>
        <v/>
      </c>
      <c r="N198" s="70" t="str">
        <f t="shared" si="81"/>
        <v/>
      </c>
      <c r="O198" s="39" t="str">
        <f t="shared" si="82"/>
        <v/>
      </c>
      <c r="P198" s="20" t="str">
        <f>IF(B198&lt;ROTTE!$B$1,B198,"")</f>
        <v/>
      </c>
      <c r="Q198" s="39" t="e">
        <f t="shared" si="85"/>
        <v>#N/A</v>
      </c>
      <c r="R198" s="39" t="e">
        <f t="shared" si="86"/>
        <v>#N/A</v>
      </c>
      <c r="T198" s="39">
        <f t="shared" si="61"/>
        <v>0</v>
      </c>
    </row>
    <row r="199" spans="1:20">
      <c r="A199" s="20">
        <f>A197+1</f>
        <v>30</v>
      </c>
      <c r="B199" s="20">
        <v>60</v>
      </c>
      <c r="C199" s="80">
        <f>$B$129*(A199-1)/$B$93</f>
        <v>7.8180326566103329E-5</v>
      </c>
      <c r="D199" s="70">
        <f>IF(I199&gt;=0,ASIN(SIN($D$101)*COS(C199)+COS($D$101)*SIN(C199)*COS($C$113)),ASIN(SIN($D$102)*COS(ABS(I199)*SIN($B$134)/SIN($B$135)/$B$93)+COS($D$102)*SIN(ABS(I199)*SIN($B$134)/SIN($B$135)/$B$93)*COS($C$117)))</f>
        <v>0.80061577906817971</v>
      </c>
      <c r="E199" s="70">
        <f>IF(I199&gt;=0,$E$101+ATAN2(COS(C199)-SIN($D$101)*SIN(D199),SIN($C$113)*SIN(C199)*COS($D$101)),$E$102+ATAN2(COS(ABS(I199)*SIN($B$134)/SIN($B$135)/$B$93)-SIN($D$102)*SIN(D199),SIN($C$117)*SIN(ABS(I199)*SIN($B$134)/SIN($B$135)/$B$93)*COS($D$102)))</f>
        <v>0.18781575538077949</v>
      </c>
      <c r="F199" s="14">
        <f t="shared" si="71"/>
        <v>45.871905152185057</v>
      </c>
      <c r="G199" s="14">
        <f t="shared" si="72"/>
        <v>10.761050109380145</v>
      </c>
      <c r="H199" s="39">
        <f t="shared" si="68"/>
        <v>498.22739406457111</v>
      </c>
      <c r="I199" s="39">
        <f>$E$113-H199</f>
        <v>-402.22810120670971</v>
      </c>
      <c r="K199" s="14" t="str">
        <f>IF(ROTTE!C88&lt;&gt;"",LN(TAN(D199/2+PI()/4)/TAN($D$140/2+PI()/4)),"")</f>
        <v/>
      </c>
      <c r="L199" s="14" t="str">
        <f>IF(ROTTE!D88&lt;&gt;"",E199-$E$140,"")</f>
        <v/>
      </c>
      <c r="M199" s="14" t="str">
        <f t="shared" si="62"/>
        <v/>
      </c>
      <c r="N199" s="70" t="str">
        <f t="shared" si="81"/>
        <v/>
      </c>
      <c r="O199" s="39" t="str">
        <f t="shared" si="82"/>
        <v/>
      </c>
      <c r="P199" s="20" t="str">
        <f>IF(B199&lt;ROTTE!$B$1,B199,"")</f>
        <v/>
      </c>
      <c r="Q199" s="39" t="e">
        <f t="shared" si="85"/>
        <v>#N/A</v>
      </c>
      <c r="R199" s="39" t="e">
        <f t="shared" si="86"/>
        <v>#N/A</v>
      </c>
      <c r="T199" s="39">
        <f t="shared" si="61"/>
        <v>0</v>
      </c>
    </row>
    <row r="200" spans="1:20">
      <c r="A200" s="20">
        <f>A199</f>
        <v>30</v>
      </c>
      <c r="B200" s="20">
        <v>61</v>
      </c>
      <c r="C200" s="80">
        <f>$B$131*(A200-1)/$B$93</f>
        <v>7.7452229852475286E-5</v>
      </c>
      <c r="D200" s="70">
        <f>IF(I200&gt;=0,ASIN(SIN($D$100)*COS(C200)+COS($D$100)*SIN(C200)*COS($C$121)),ASIN(SIN($D$103)*COS(ABS(I200)*SIN($B$132)/SIN($B$133)/$B$93)+COS($D$103)*SIN(ABS(I200)*SIN($B$132)/SIN($B$133)/$B$93)*COS($C$125)))</f>
        <v>0.8006157880006356</v>
      </c>
      <c r="E200" s="70">
        <f>IF(I200&gt;=0,$E$100+ATAN2(COS(C200)-SIN($D$100)*SIN(D200),SIN($C$121)*SIN(C200)*COS($D$100)),$E$103+ATAN2(COS(ABS(I200)*SIN($B$132)/SIN($B$133)/$B$93)-SIN($D$103)*SIN(D200),SIN($C$125)*SIN(ABS(I200)*SIN($B$132)/SIN($B$133)/$B$93)*COS($D$103)))</f>
        <v>0.18781576210024789</v>
      </c>
      <c r="F200" s="14">
        <f t="shared" ref="F200:F201" si="101">D200*180/PI()</f>
        <v>45.871905663977074</v>
      </c>
      <c r="G200" s="14">
        <f t="shared" ref="G200:G201" si="102">E200*180/PI()</f>
        <v>10.761050494377326</v>
      </c>
      <c r="H200" s="39">
        <f t="shared" si="68"/>
        <v>493.58738110746026</v>
      </c>
      <c r="I200" s="39">
        <f>$E$121-H200</f>
        <v>-273.37798732331521</v>
      </c>
      <c r="K200" s="14" t="str">
        <f>IF(ROTTE!C89&lt;&gt;"",LN(TAN(D200/2+PI()/4)/TAN($D$140/2+PI()/4)),"")</f>
        <v/>
      </c>
      <c r="L200" s="14" t="str">
        <f>IF(ROTTE!D89&lt;&gt;"",E200-$E$140,"")</f>
        <v/>
      </c>
      <c r="M200" s="14" t="str">
        <f t="shared" si="62"/>
        <v/>
      </c>
      <c r="N200" s="70" t="str">
        <f t="shared" si="81"/>
        <v/>
      </c>
      <c r="O200" s="39" t="str">
        <f t="shared" si="82"/>
        <v/>
      </c>
      <c r="P200" s="20" t="str">
        <f>IF(B200&lt;ROTTE!$B$1,B200,"")</f>
        <v/>
      </c>
      <c r="Q200" s="39" t="e">
        <f t="shared" si="85"/>
        <v>#N/A</v>
      </c>
      <c r="R200" s="39" t="e">
        <f t="shared" si="86"/>
        <v>#N/A</v>
      </c>
      <c r="T200" s="39">
        <f t="shared" si="61"/>
        <v>0</v>
      </c>
    </row>
    <row r="201" spans="1:20">
      <c r="A201" s="20">
        <f>A199+1</f>
        <v>31</v>
      </c>
      <c r="B201" s="20">
        <v>62</v>
      </c>
      <c r="C201" s="80">
        <f>$B$131*(A201-1)/$B$93</f>
        <v>8.0122996399112351E-5</v>
      </c>
      <c r="D201" s="70">
        <f>IF(I201&gt;=0,ASIN(SIN($D$100)*COS(C201)+COS($D$100)*SIN(C201)*COS($C$121)),ASIN(SIN($D$103)*COS(ABS(I201)*SIN($B$132)/SIN($B$133)/$B$93)+COS($D$103)*SIN(ABS(I201)*SIN($B$132)/SIN($B$133)/$B$93)*COS($C$125)))</f>
        <v>0.80062258143454523</v>
      </c>
      <c r="E201" s="70">
        <f>IF(I201&gt;=0,$E$100+ATAN2(COS(C201)-SIN($D$100)*SIN(D201),SIN($C$121)*SIN(C201)*COS($D$100)),$E$103+ATAN2(COS(ABS(I201)*SIN($B$132)/SIN($B$133)/$B$93)-SIN($D$103)*SIN(D201),SIN($C$125)*SIN(ABS(I201)*SIN($B$132)/SIN($B$133)/$B$93)*COS($D$103)))</f>
        <v>0.18780610478173687</v>
      </c>
      <c r="F201" s="14">
        <f t="shared" si="101"/>
        <v>45.8722948990685</v>
      </c>
      <c r="G201" s="14">
        <f t="shared" si="102"/>
        <v>10.760497170785232</v>
      </c>
      <c r="H201" s="39">
        <f t="shared" si="68"/>
        <v>510.60763562840708</v>
      </c>
      <c r="I201" s="39">
        <f>$E$121-H201</f>
        <v>-290.39824184426197</v>
      </c>
      <c r="K201" s="14" t="str">
        <f>IF(ROTTE!C90&lt;&gt;"",LN(TAN(D201/2+PI()/4)/TAN($D$140/2+PI()/4)),"")</f>
        <v/>
      </c>
      <c r="L201" s="14" t="str">
        <f>IF(ROTTE!D90&lt;&gt;"",E201-$E$140,"")</f>
        <v/>
      </c>
      <c r="M201" s="14" t="str">
        <f t="shared" si="62"/>
        <v/>
      </c>
      <c r="N201" s="70" t="str">
        <f t="shared" si="81"/>
        <v/>
      </c>
      <c r="O201" s="39" t="str">
        <f t="shared" si="82"/>
        <v/>
      </c>
      <c r="P201" s="20" t="str">
        <f>IF(B201&lt;ROTTE!$B$1,B201,"")</f>
        <v/>
      </c>
      <c r="Q201" s="39" t="e">
        <f t="shared" si="85"/>
        <v>#N/A</v>
      </c>
      <c r="R201" s="39" t="e">
        <f t="shared" si="86"/>
        <v>#N/A</v>
      </c>
      <c r="T201" s="39">
        <f t="shared" si="61"/>
        <v>0</v>
      </c>
    </row>
    <row r="202" spans="1:20">
      <c r="A202" s="20">
        <f>A201</f>
        <v>31</v>
      </c>
      <c r="B202" s="20">
        <v>63</v>
      </c>
      <c r="C202" s="80">
        <f>$B$129*(A202-1)/$B$93</f>
        <v>8.0876199895968962E-5</v>
      </c>
      <c r="D202" s="70">
        <f>IF(I202&gt;=0,ASIN(SIN($D$101)*COS(C202)+COS($D$101)*SIN(C202)*COS($C$113)),ASIN(SIN($D$102)*COS(ABS(I202)*SIN($B$134)/SIN($B$135)/$B$93)+COS($D$102)*SIN(ABS(I202)*SIN($B$134)/SIN($B$135)/$B$93)*COS($C$117)))</f>
        <v>0.80062257215956611</v>
      </c>
      <c r="E202" s="70">
        <f>IF(I202&gt;=0,$E$101+ATAN2(COS(C202)-SIN($D$101)*SIN(D202),SIN($C$113)*SIN(C202)*COS($D$101)),$E$102+ATAN2(COS(ABS(I202)*SIN($B$134)/SIN($B$135)/$B$93)-SIN($D$102)*SIN(D202),SIN($C$117)*SIN(ABS(I202)*SIN($B$134)/SIN($B$135)/$B$93)*COS($D$102)))</f>
        <v>0.18780609756536054</v>
      </c>
      <c r="F202" s="14">
        <f t="shared" si="71"/>
        <v>45.872294367651342</v>
      </c>
      <c r="G202" s="14">
        <f t="shared" si="72"/>
        <v>10.760496757317323</v>
      </c>
      <c r="H202" s="39">
        <f t="shared" si="68"/>
        <v>515.40764903231491</v>
      </c>
      <c r="I202" s="39">
        <f>$E$113-H202</f>
        <v>-419.4083561744535</v>
      </c>
      <c r="K202" s="14" t="str">
        <f>IF(ROTTE!C91&lt;&gt;"",LN(TAN(D202/2+PI()/4)/TAN($D$140/2+PI()/4)),"")</f>
        <v/>
      </c>
      <c r="L202" s="14" t="str">
        <f>IF(ROTTE!D91&lt;&gt;"",E202-$E$140,"")</f>
        <v/>
      </c>
      <c r="M202" s="14" t="str">
        <f t="shared" si="62"/>
        <v/>
      </c>
      <c r="N202" s="70" t="str">
        <f t="shared" si="81"/>
        <v/>
      </c>
      <c r="O202" s="39" t="str">
        <f t="shared" si="82"/>
        <v/>
      </c>
      <c r="P202" s="20" t="str">
        <f>IF(B202&lt;ROTTE!$B$1,B202,"")</f>
        <v/>
      </c>
      <c r="Q202" s="39" t="e">
        <f t="shared" si="85"/>
        <v>#N/A</v>
      </c>
      <c r="R202" s="39" t="e">
        <f t="shared" si="86"/>
        <v>#N/A</v>
      </c>
      <c r="T202" s="39">
        <f t="shared" si="61"/>
        <v>0</v>
      </c>
    </row>
    <row r="203" spans="1:20">
      <c r="A203" s="20">
        <f>A201+1</f>
        <v>32</v>
      </c>
      <c r="B203" s="20">
        <v>64</v>
      </c>
      <c r="C203" s="80">
        <f>$B$129*(A203-1)/$B$93</f>
        <v>8.3572073225834595E-5</v>
      </c>
      <c r="D203" s="70">
        <f>IF(I203&gt;=0,ASIN(SIN($D$101)*COS(C203)+COS($D$101)*SIN(C203)*COS($C$113)),ASIN(SIN($D$102)*COS(ABS(I203)*SIN($B$134)/SIN($B$135)/$B$93)+COS($D$102)*SIN(ABS(I203)*SIN($B$134)/SIN($B$135)/$B$93)*COS($C$117)))</f>
        <v>0.80062936520433647</v>
      </c>
      <c r="E203" s="70">
        <f>IF(I203&gt;=0,$E$101+ATAN2(COS(C203)-SIN($D$101)*SIN(D203),SIN($C$113)*SIN(C203)*COS($D$101)),$E$102+ATAN2(COS(ABS(I203)*SIN($B$134)/SIN($B$135)/$B$93)-SIN($D$102)*SIN(D203),SIN($C$117)*SIN(ABS(I203)*SIN($B$134)/SIN($B$135)/$B$93)*COS($D$102)))</f>
        <v>0.18779643961467088</v>
      </c>
      <c r="F203" s="14">
        <f t="shared" si="71"/>
        <v>45.872683580446726</v>
      </c>
      <c r="G203" s="14">
        <f t="shared" si="72"/>
        <v>10.759943397504061</v>
      </c>
      <c r="H203" s="39">
        <f t="shared" si="68"/>
        <v>532.58790400005876</v>
      </c>
      <c r="I203" s="39">
        <f>$E$113-H203</f>
        <v>-436.58861114219735</v>
      </c>
      <c r="K203" s="14" t="str">
        <f>IF(ROTTE!C92&lt;&gt;"",LN(TAN(D203/2+PI()/4)/TAN($D$140/2+PI()/4)),"")</f>
        <v/>
      </c>
      <c r="L203" s="14" t="str">
        <f>IF(ROTTE!D92&lt;&gt;"",E203-$E$140,"")</f>
        <v/>
      </c>
      <c r="M203" s="14" t="str">
        <f t="shared" si="62"/>
        <v/>
      </c>
      <c r="N203" s="70" t="str">
        <f t="shared" si="81"/>
        <v/>
      </c>
      <c r="O203" s="39" t="str">
        <f t="shared" si="82"/>
        <v/>
      </c>
      <c r="P203" s="20" t="str">
        <f>IF(B203&lt;ROTTE!$B$1,B203,"")</f>
        <v/>
      </c>
      <c r="Q203" s="39" t="e">
        <f t="shared" si="85"/>
        <v>#N/A</v>
      </c>
      <c r="R203" s="39" t="e">
        <f t="shared" si="86"/>
        <v>#N/A</v>
      </c>
      <c r="T203" s="39">
        <f t="shared" si="61"/>
        <v>0</v>
      </c>
    </row>
    <row r="204" spans="1:20">
      <c r="A204" s="20">
        <f>A203</f>
        <v>32</v>
      </c>
      <c r="B204" s="20">
        <v>65</v>
      </c>
      <c r="C204" s="80">
        <f>$B$131*(A204-1)/$B$93</f>
        <v>8.2793762945749443E-5</v>
      </c>
      <c r="D204" s="70">
        <f>IF(I204&gt;=0,ASIN(SIN($D$100)*COS(C204)+COS($D$100)*SIN(C204)*COS($C$121)),ASIN(SIN($D$103)*COS(ABS(I204)*SIN($B$132)/SIN($B$133)/$B$93)+COS($D$103)*SIN(ABS(I204)*SIN($B$132)/SIN($B$133)/$B$93)*COS($C$125)))</f>
        <v>0.80062937482184382</v>
      </c>
      <c r="E204" s="70">
        <f>IF(I204&gt;=0,$E$100+ATAN2(COS(C204)-SIN($D$100)*SIN(D204),SIN($C$121)*SIN(C204)*COS($D$100)),$E$103+ATAN2(COS(ABS(I204)*SIN($B$132)/SIN($B$133)/$B$93)-SIN($D$103)*SIN(D204),SIN($C$125)*SIN(ABS(I204)*SIN($B$132)/SIN($B$133)/$B$93)*COS($D$103)))</f>
        <v>0.18779644732795528</v>
      </c>
      <c r="F204" s="14">
        <f t="shared" ref="F204:F205" si="103">D204*180/PI()</f>
        <v>45.872684131489308</v>
      </c>
      <c r="G204" s="14">
        <f t="shared" ref="G204:G205" si="104">E204*180/PI()</f>
        <v>10.759943839442704</v>
      </c>
      <c r="H204" s="39">
        <f t="shared" si="68"/>
        <v>527.62789014935402</v>
      </c>
      <c r="I204" s="39">
        <f>$E$121-H204</f>
        <v>-307.41849636520897</v>
      </c>
      <c r="K204" s="14" t="str">
        <f>IF(ROTTE!C93&lt;&gt;"",LN(TAN(D204/2+PI()/4)/TAN($D$140/2+PI()/4)),"")</f>
        <v/>
      </c>
      <c r="L204" s="14" t="str">
        <f>IF(ROTTE!D93&lt;&gt;"",E204-$E$140,"")</f>
        <v/>
      </c>
      <c r="M204" s="14" t="str">
        <f t="shared" si="62"/>
        <v/>
      </c>
      <c r="N204" s="70" t="str">
        <f t="shared" si="81"/>
        <v/>
      </c>
      <c r="O204" s="39" t="str">
        <f t="shared" si="82"/>
        <v/>
      </c>
      <c r="P204" s="20" t="str">
        <f>IF(B204&lt;ROTTE!$B$1,B204,"")</f>
        <v/>
      </c>
      <c r="Q204" s="39" t="e">
        <f t="shared" si="85"/>
        <v>#N/A</v>
      </c>
      <c r="R204" s="39" t="e">
        <f t="shared" si="86"/>
        <v>#N/A</v>
      </c>
      <c r="T204" s="39">
        <f t="shared" si="61"/>
        <v>0</v>
      </c>
    </row>
    <row r="205" spans="1:20">
      <c r="A205" s="20">
        <f>A203+1</f>
        <v>33</v>
      </c>
      <c r="B205" s="20">
        <v>66</v>
      </c>
      <c r="C205" s="80">
        <f>$B$131*(A205-1)/$B$93</f>
        <v>8.5464529492386507E-5</v>
      </c>
      <c r="D205" s="70">
        <f>IF(I205&gt;=0,ASIN(SIN($D$100)*COS(C205)+COS($D$100)*SIN(C205)*COS($C$121)),ASIN(SIN($D$103)*COS(ABS(I205)*SIN($B$132)/SIN($B$133)/$B$93)+COS($D$103)*SIN(ABS(I205)*SIN($B$132)/SIN($B$133)/$B$93)*COS($C$125)))</f>
        <v>0.80063616816253058</v>
      </c>
      <c r="E205" s="70">
        <f>IF(I205&gt;=0,$E$100+ATAN2(COS(C205)-SIN($D$100)*SIN(D205),SIN($C$121)*SIN(C205)*COS($D$100)),$E$103+ATAN2(COS(ABS(I205)*SIN($B$132)/SIN($B$133)/$B$93)-SIN($D$103)*SIN(D205),SIN($C$125)*SIN(ABS(I205)*SIN($B$132)/SIN($B$133)/$B$93)*COS($D$103)))</f>
        <v>0.18778678973890034</v>
      </c>
      <c r="F205" s="14">
        <f t="shared" si="103"/>
        <v>45.873073361239456</v>
      </c>
      <c r="G205" s="14">
        <f t="shared" si="104"/>
        <v>10.759390500349586</v>
      </c>
      <c r="H205" s="39">
        <f t="shared" si="68"/>
        <v>544.64814467030089</v>
      </c>
      <c r="I205" s="39">
        <f>$E$121-H205</f>
        <v>-324.43875088615584</v>
      </c>
      <c r="K205" s="14" t="str">
        <f>IF(ROTTE!C94&lt;&gt;"",LN(TAN(D205/2+PI()/4)/TAN($D$140/2+PI()/4)),"")</f>
        <v/>
      </c>
      <c r="L205" s="14" t="str">
        <f>IF(ROTTE!D94&lt;&gt;"",E205-$E$140,"")</f>
        <v/>
      </c>
      <c r="M205" s="14" t="str">
        <f t="shared" si="62"/>
        <v/>
      </c>
      <c r="N205" s="70" t="str">
        <f t="shared" si="81"/>
        <v/>
      </c>
      <c r="O205" s="39" t="str">
        <f t="shared" si="82"/>
        <v/>
      </c>
      <c r="P205" s="20" t="str">
        <f>IF(B205&lt;ROTTE!$B$1,B205,"")</f>
        <v/>
      </c>
      <c r="Q205" s="39" t="e">
        <f t="shared" si="85"/>
        <v>#N/A</v>
      </c>
      <c r="R205" s="39" t="e">
        <f t="shared" si="86"/>
        <v>#N/A</v>
      </c>
      <c r="T205" s="39">
        <f t="shared" ref="T205:T238" si="105">IF(_xlfn.IFNA(Q205,0)=0,0,SQRT((Q205-Q204)^2+(R205-R204)^2))</f>
        <v>0</v>
      </c>
    </row>
    <row r="206" spans="1:20">
      <c r="A206" s="20">
        <f>A205</f>
        <v>33</v>
      </c>
      <c r="B206" s="20">
        <v>67</v>
      </c>
      <c r="C206" s="80">
        <f>$B$129*(A206-1)/$B$93</f>
        <v>8.6267946555700228E-5</v>
      </c>
      <c r="D206" s="70">
        <f>IF(I206&gt;=0,ASIN(SIN($D$101)*COS(C206)+COS($D$101)*SIN(C206)*COS($C$113)),ASIN(SIN($D$102)*COS(ABS(I206)*SIN($B$134)/SIN($B$135)/$B$93)+COS($D$102)*SIN(ABS(I206)*SIN($B$134)/SIN($B$135)/$B$93)*COS($C$117)))</f>
        <v>0.80063615820249001</v>
      </c>
      <c r="E206" s="70">
        <f>IF(I206&gt;=0,$E$101+ATAN2(COS(C206)-SIN($D$101)*SIN(D206),SIN($C$113)*SIN(C206)*COS($D$101)),$E$102+ATAN2(COS(ABS(I206)*SIN($B$134)/SIN($B$135)/$B$93)-SIN($D$102)*SIN(D206),SIN($C$117)*SIN(ABS(I206)*SIN($B$134)/SIN($B$135)/$B$93)*COS($D$102)))</f>
        <v>0.1877867815287077</v>
      </c>
      <c r="F206" s="14">
        <f t="shared" si="71"/>
        <v>45.873072790571165</v>
      </c>
      <c r="G206" s="14">
        <f t="shared" si="72"/>
        <v>10.759390029940196</v>
      </c>
      <c r="H206" s="39">
        <f t="shared" si="68"/>
        <v>549.76815896780261</v>
      </c>
      <c r="I206" s="39">
        <f>$E$113-H206</f>
        <v>-453.7688661099412</v>
      </c>
      <c r="K206" s="14" t="str">
        <f>IF(ROTTE!C95&lt;&gt;"",LN(TAN(D206/2+PI()/4)/TAN($D$140/2+PI()/4)),"")</f>
        <v/>
      </c>
      <c r="L206" s="14" t="str">
        <f>IF(ROTTE!D95&lt;&gt;"",E206-$E$140,"")</f>
        <v/>
      </c>
      <c r="M206" s="14" t="str">
        <f t="shared" ref="M206:M238" si="106">IF(K206="","",IF(L206=0,PI()/2,ATAN2(L206,K206)))</f>
        <v/>
      </c>
      <c r="N206" s="70" t="str">
        <f t="shared" si="81"/>
        <v/>
      </c>
      <c r="O206" s="39" t="str">
        <f t="shared" si="82"/>
        <v/>
      </c>
      <c r="P206" s="20" t="str">
        <f>IF(B206&lt;ROTTE!$B$1,B206,"")</f>
        <v/>
      </c>
      <c r="Q206" s="39" t="e">
        <f t="shared" si="85"/>
        <v>#N/A</v>
      </c>
      <c r="R206" s="39" t="e">
        <f t="shared" si="86"/>
        <v>#N/A</v>
      </c>
      <c r="T206" s="39">
        <f t="shared" si="105"/>
        <v>0</v>
      </c>
    </row>
    <row r="207" spans="1:20">
      <c r="A207" s="20">
        <f>A205+1</f>
        <v>34</v>
      </c>
      <c r="B207" s="20">
        <v>68</v>
      </c>
      <c r="C207" s="80">
        <f>$B$129*(A207-1)/$B$93</f>
        <v>8.8963819885565861E-5</v>
      </c>
      <c r="D207" s="70">
        <f>IF(I207&gt;=0,ASIN(SIN($D$101)*COS(C207)+COS($D$101)*SIN(C207)*COS($C$113)),ASIN(SIN($D$102)*COS(ABS(I207)*SIN($B$134)/SIN($B$135)/$B$93)+COS($D$102)*SIN(ABS(I207)*SIN($B$134)/SIN($B$135)/$B$93)*COS($C$117)))</f>
        <v>0.80064295115402528</v>
      </c>
      <c r="E207" s="70">
        <f>IF(I207&gt;=0,$E$101+ATAN2(COS(C207)-SIN($D$101)*SIN(D207),SIN($C$113)*SIN(C207)*COS($D$101)),$E$102+ATAN2(COS(ABS(I207)*SIN($B$134)/SIN($B$135)/$B$93)-SIN($D$102)*SIN(D207),SIN($C$117)*SIN(ABS(I207)*SIN($B$134)/SIN($B$135)/$B$93)*COS($D$102)))</f>
        <v>0.18777712330746826</v>
      </c>
      <c r="F207" s="14">
        <f t="shared" si="71"/>
        <v>45.873461998024574</v>
      </c>
      <c r="G207" s="14">
        <f t="shared" si="72"/>
        <v>10.758836654625574</v>
      </c>
      <c r="H207" s="39">
        <f t="shared" si="68"/>
        <v>566.94841393554645</v>
      </c>
      <c r="I207" s="39">
        <f>$E$113-H207</f>
        <v>-470.94912107768505</v>
      </c>
      <c r="K207" s="14" t="str">
        <f>IF(ROTTE!C96&lt;&gt;"",LN(TAN(D207/2+PI()/4)/TAN($D$140/2+PI()/4)),"")</f>
        <v/>
      </c>
      <c r="L207" s="14" t="str">
        <f>IF(ROTTE!D96&lt;&gt;"",E207-$E$140,"")</f>
        <v/>
      </c>
      <c r="M207" s="14" t="str">
        <f t="shared" si="106"/>
        <v/>
      </c>
      <c r="N207" s="70" t="str">
        <f t="shared" si="81"/>
        <v/>
      </c>
      <c r="O207" s="39" t="str">
        <f t="shared" si="82"/>
        <v/>
      </c>
      <c r="P207" s="20" t="str">
        <f>IF(B207&lt;ROTTE!$B$1,B207,"")</f>
        <v/>
      </c>
      <c r="Q207" s="39" t="e">
        <f t="shared" si="85"/>
        <v>#N/A</v>
      </c>
      <c r="R207" s="39" t="e">
        <f t="shared" si="86"/>
        <v>#N/A</v>
      </c>
      <c r="T207" s="39">
        <f t="shared" si="105"/>
        <v>0</v>
      </c>
    </row>
    <row r="208" spans="1:20">
      <c r="A208" s="20">
        <f>A207</f>
        <v>34</v>
      </c>
      <c r="B208" s="20">
        <v>69</v>
      </c>
      <c r="C208" s="80">
        <f>$B$131*(A208-1)/$B$93</f>
        <v>8.8135296039023586E-5</v>
      </c>
      <c r="D208" s="70">
        <f>IF(I208&gt;=0,ASIN(SIN($D$100)*COS(C208)+COS($D$100)*SIN(C208)*COS($C$121)),ASIN(SIN($D$103)*COS(ABS(I208)*SIN($B$132)/SIN($B$133)/$B$93)+COS($D$103)*SIN(ABS(I208)*SIN($B$132)/SIN($B$133)/$B$93)*COS($C$125)))</f>
        <v>0.80064296145660363</v>
      </c>
      <c r="E208" s="70">
        <f>IF(I208&gt;=0,$E$100+ATAN2(COS(C208)-SIN($D$100)*SIN(D208),SIN($C$121)*SIN(C208)*COS($D$100)),$E$103+ATAN2(COS(ABS(I208)*SIN($B$132)/SIN($B$133)/$B$93)-SIN($D$103)*SIN(D208),SIN($C$125)*SIN(ABS(I208)*SIN($B$132)/SIN($B$133)/$B$93)*COS($D$103)))</f>
        <v>0.18777713201456925</v>
      </c>
      <c r="F208" s="14">
        <f t="shared" ref="F208:F209" si="107">D208*180/PI()</f>
        <v>45.873462588318837</v>
      </c>
      <c r="G208" s="14">
        <f t="shared" ref="G208:G209" si="108">E208*180/PI()</f>
        <v>10.758837153505711</v>
      </c>
      <c r="H208" s="39">
        <f t="shared" ref="H208:H238" si="109">C208*$B$93</f>
        <v>561.66839919124777</v>
      </c>
      <c r="I208" s="39">
        <f>$E$121-H208</f>
        <v>-341.45900540710272</v>
      </c>
      <c r="K208" s="14" t="str">
        <f>IF(ROTTE!C97&lt;&gt;"",LN(TAN(D208/2+PI()/4)/TAN($D$140/2+PI()/4)),"")</f>
        <v/>
      </c>
      <c r="L208" s="14" t="str">
        <f>IF(ROTTE!D97&lt;&gt;"",E208-$E$140,"")</f>
        <v/>
      </c>
      <c r="M208" s="14" t="str">
        <f t="shared" si="106"/>
        <v/>
      </c>
      <c r="N208" s="70" t="str">
        <f t="shared" si="81"/>
        <v/>
      </c>
      <c r="O208" s="39" t="str">
        <f t="shared" si="82"/>
        <v/>
      </c>
      <c r="P208" s="20" t="str">
        <f>IF(B208&lt;ROTTE!$B$1,B208,"")</f>
        <v/>
      </c>
      <c r="Q208" s="39" t="e">
        <f t="shared" si="85"/>
        <v>#N/A</v>
      </c>
      <c r="R208" s="39" t="e">
        <f t="shared" si="86"/>
        <v>#N/A</v>
      </c>
      <c r="T208" s="39">
        <f t="shared" si="105"/>
        <v>0</v>
      </c>
    </row>
    <row r="209" spans="1:20">
      <c r="A209" s="20">
        <f>A207+1</f>
        <v>35</v>
      </c>
      <c r="B209" s="20">
        <v>70</v>
      </c>
      <c r="C209" s="80">
        <f>$B$131*(A209-1)/$B$93</f>
        <v>9.0806062585660664E-5</v>
      </c>
      <c r="D209" s="70">
        <f>IF(I209&gt;=0,ASIN(SIN($D$100)*COS(C209)+COS($D$100)*SIN(C209)*COS($C$121)),ASIN(SIN($D$103)*COS(ABS(I209)*SIN($B$132)/SIN($B$133)/$B$93)+COS($D$103)*SIN(ABS(I209)*SIN($B$132)/SIN($B$133)/$B$93)*COS($C$125)))</f>
        <v>0.80064975470406174</v>
      </c>
      <c r="E209" s="70">
        <f>IF(I209&gt;=0,$E$100+ATAN2(COS(C209)-SIN($D$100)*SIN(D209),SIN($C$121)*SIN(C209)*COS($D$100)),$E$103+ATAN2(COS(ABS(I209)*SIN($B$132)/SIN($B$133)/$B$93)-SIN($D$103)*SIN(D209),SIN($C$125)*SIN(ABS(I209)*SIN($B$132)/SIN($B$133)/$B$93)*COS($D$103)))</f>
        <v>0.18776747415495917</v>
      </c>
      <c r="F209" s="14">
        <f t="shared" si="107"/>
        <v>45.873851812727366</v>
      </c>
      <c r="G209" s="14">
        <f t="shared" si="108"/>
        <v>10.758283798910924</v>
      </c>
      <c r="H209" s="39">
        <f t="shared" si="109"/>
        <v>578.68865371219465</v>
      </c>
      <c r="I209" s="39">
        <f>$E$121-H209</f>
        <v>-358.4792599280496</v>
      </c>
      <c r="K209" s="14" t="str">
        <f>IF(ROTTE!C98&lt;&gt;"",LN(TAN(D209/2+PI()/4)/TAN($D$140/2+PI()/4)),"")</f>
        <v/>
      </c>
      <c r="L209" s="14" t="str">
        <f>IF(ROTTE!D98&lt;&gt;"",E209-$E$140,"")</f>
        <v/>
      </c>
      <c r="M209" s="14" t="str">
        <f t="shared" si="106"/>
        <v/>
      </c>
      <c r="N209" s="70" t="str">
        <f t="shared" si="81"/>
        <v/>
      </c>
      <c r="O209" s="39" t="str">
        <f t="shared" si="82"/>
        <v/>
      </c>
      <c r="P209" s="20" t="str">
        <f>IF(B209&lt;ROTTE!$B$1,B209,"")</f>
        <v/>
      </c>
      <c r="Q209" s="39" t="e">
        <f t="shared" si="85"/>
        <v>#N/A</v>
      </c>
      <c r="R209" s="39" t="e">
        <f t="shared" si="86"/>
        <v>#N/A</v>
      </c>
      <c r="T209" s="39">
        <f t="shared" si="105"/>
        <v>0</v>
      </c>
    </row>
    <row r="210" spans="1:20">
      <c r="A210" s="20">
        <f>A209</f>
        <v>35</v>
      </c>
      <c r="B210" s="20">
        <v>71</v>
      </c>
      <c r="C210" s="80">
        <f>$B$129*(A210-1)/$B$93</f>
        <v>9.1659693215431494E-5</v>
      </c>
      <c r="D210" s="70">
        <f>IF(I210&gt;=0,ASIN(SIN($D$101)*COS(C210)+COS($D$101)*SIN(C210)*COS($C$113)),ASIN(SIN($D$102)*COS(ABS(I210)*SIN($B$134)/SIN($B$135)/$B$93)+COS($D$102)*SIN(ABS(I210)*SIN($B$134)/SIN($B$135)/$B$93)*COS($C$117)))</f>
        <v>0.80064974405894074</v>
      </c>
      <c r="E210" s="70">
        <f>IF(I210&gt;=0,$E$101+ATAN2(COS(C210)-SIN($D$101)*SIN(D210),SIN($C$113)*SIN(C210)*COS($D$101)),$E$102+ATAN2(COS(ABS(I210)*SIN($B$134)/SIN($B$135)/$B$93)-SIN($D$102)*SIN(D210),SIN($C$117)*SIN(ABS(I210)*SIN($B$134)/SIN($B$135)/$B$93)*COS($D$102)))</f>
        <v>0.1877674649509497</v>
      </c>
      <c r="F210" s="14">
        <f t="shared" si="71"/>
        <v>45.873851202806861</v>
      </c>
      <c r="G210" s="14">
        <f t="shared" si="72"/>
        <v>10.758283271560028</v>
      </c>
      <c r="H210" s="39">
        <f t="shared" si="109"/>
        <v>584.1286689032903</v>
      </c>
      <c r="I210" s="39">
        <f>$E$113-H210</f>
        <v>-488.1293760454289</v>
      </c>
      <c r="K210" s="14" t="str">
        <f>IF(ROTTE!C99&lt;&gt;"",LN(TAN(D210/2+PI()/4)/TAN($D$140/2+PI()/4)),"")</f>
        <v/>
      </c>
      <c r="L210" s="14" t="str">
        <f>IF(ROTTE!D99&lt;&gt;"",E210-$E$140,"")</f>
        <v/>
      </c>
      <c r="M210" s="14" t="str">
        <f t="shared" si="106"/>
        <v/>
      </c>
      <c r="N210" s="70" t="str">
        <f t="shared" si="81"/>
        <v/>
      </c>
      <c r="O210" s="39" t="str">
        <f t="shared" si="82"/>
        <v/>
      </c>
      <c r="P210" s="20" t="str">
        <f>IF(B210&lt;ROTTE!$B$1,B210,"")</f>
        <v/>
      </c>
      <c r="Q210" s="39" t="e">
        <f t="shared" si="85"/>
        <v>#N/A</v>
      </c>
      <c r="R210" s="39" t="e">
        <f t="shared" si="86"/>
        <v>#N/A</v>
      </c>
      <c r="T210" s="39">
        <f t="shared" si="105"/>
        <v>0</v>
      </c>
    </row>
    <row r="211" spans="1:20">
      <c r="A211" s="20">
        <f>A209+1</f>
        <v>36</v>
      </c>
      <c r="B211" s="20">
        <v>72</v>
      </c>
      <c r="C211" s="80">
        <f>$B$129*(A211-1)/$B$93</f>
        <v>9.4355566545297127E-5</v>
      </c>
      <c r="D211" s="70">
        <f>IF(I211&gt;=0,ASIN(SIN($D$101)*COS(C211)+COS($D$101)*SIN(C211)*COS($C$113)),ASIN(SIN($D$102)*COS(ABS(I211)*SIN($B$134)/SIN($B$135)/$B$93)+COS($D$102)*SIN(ABS(I211)*SIN($B$134)/SIN($B$135)/$B$93)*COS($C$117)))</f>
        <v>0.80065653691723526</v>
      </c>
      <c r="E211" s="70">
        <f>IF(I211&gt;=0,$E$101+ATAN2(COS(C211)-SIN($D$101)*SIN(D211),SIN($C$113)*SIN(C211)*COS($D$101)),$E$102+ATAN2(COS(ABS(I211)*SIN($B$134)/SIN($B$135)/$B$93)-SIN($D$102)*SIN(D211),SIN($C$117)*SIN(ABS(I211)*SIN($B$134)/SIN($B$135)/$B$93)*COS($D$102)))</f>
        <v>0.18775780645914922</v>
      </c>
      <c r="F211" s="14">
        <f t="shared" si="71"/>
        <v>45.87424040491797</v>
      </c>
      <c r="G211" s="14">
        <f t="shared" si="72"/>
        <v>10.757729880743396</v>
      </c>
      <c r="H211" s="39">
        <f t="shared" si="109"/>
        <v>601.30892387103415</v>
      </c>
      <c r="I211" s="39">
        <f>$E$113-H211</f>
        <v>-505.30963101317275</v>
      </c>
      <c r="K211" s="14" t="str">
        <f>IF(ROTTE!C100&lt;&gt;"",LN(TAN(D211/2+PI()/4)/TAN($D$140/2+PI()/4)),"")</f>
        <v/>
      </c>
      <c r="L211" s="14" t="str">
        <f>IF(ROTTE!D100&lt;&gt;"",E211-$E$140,"")</f>
        <v/>
      </c>
      <c r="M211" s="14" t="str">
        <f t="shared" si="106"/>
        <v/>
      </c>
      <c r="N211" s="70" t="str">
        <f t="shared" si="81"/>
        <v/>
      </c>
      <c r="O211" s="39" t="str">
        <f t="shared" si="82"/>
        <v/>
      </c>
      <c r="P211" s="20" t="str">
        <f>IF(B211&lt;ROTTE!$B$1,B211,"")</f>
        <v/>
      </c>
      <c r="Q211" s="39" t="e">
        <f t="shared" si="85"/>
        <v>#N/A</v>
      </c>
      <c r="R211" s="39" t="e">
        <f t="shared" si="86"/>
        <v>#N/A</v>
      </c>
      <c r="T211" s="39">
        <f t="shared" si="105"/>
        <v>0</v>
      </c>
    </row>
    <row r="212" spans="1:20">
      <c r="A212" s="20">
        <f>A211</f>
        <v>36</v>
      </c>
      <c r="B212" s="20">
        <v>73</v>
      </c>
      <c r="C212" s="80">
        <f>$B$131*(A212-1)/$B$93</f>
        <v>9.3476829132297756E-5</v>
      </c>
      <c r="D212" s="70">
        <f>IF(I212&gt;=0,ASIN(SIN($D$100)*COS(C212)+COS($D$100)*SIN(C212)*COS($C$121)),ASIN(SIN($D$103)*COS(ABS(I212)*SIN($B$132)/SIN($B$133)/$B$93)+COS($D$103)*SIN(ABS(I212)*SIN($B$132)/SIN($B$133)/$B$93)*COS($C$125)))</f>
        <v>0.80065654790490393</v>
      </c>
      <c r="E212" s="70">
        <f>IF(I212&gt;=0,$E$100+ATAN2(COS(C212)-SIN($D$100)*SIN(D212),SIN($C$121)*SIN(C212)*COS($D$100)),$E$103+ATAN2(COS(ABS(I212)*SIN($B$132)/SIN($B$133)/$B$93)-SIN($D$103)*SIN(D212),SIN($C$125)*SIN(ABS(I212)*SIN($B$132)/SIN($B$133)/$B$93)*COS($D$103)))</f>
        <v>0.18775781616006734</v>
      </c>
      <c r="F212" s="14">
        <f t="shared" ref="F212:F213" si="110">D212*180/PI()</f>
        <v>45.874241034465008</v>
      </c>
      <c r="G212" s="14">
        <f t="shared" ref="G212:G213" si="111">E212*180/PI()</f>
        <v>10.757730436565064</v>
      </c>
      <c r="H212" s="39">
        <f t="shared" si="109"/>
        <v>595.70890823314164</v>
      </c>
      <c r="I212" s="39">
        <f>$E$121-H212</f>
        <v>-375.49951444899659</v>
      </c>
      <c r="K212" s="14" t="str">
        <f>IF(ROTTE!C101&lt;&gt;"",LN(TAN(D212/2+PI()/4)/TAN($D$140/2+PI()/4)),"")</f>
        <v/>
      </c>
      <c r="L212" s="14" t="str">
        <f>IF(ROTTE!D101&lt;&gt;"",E212-$E$140,"")</f>
        <v/>
      </c>
      <c r="M212" s="14" t="str">
        <f t="shared" si="106"/>
        <v/>
      </c>
      <c r="N212" s="70" t="str">
        <f t="shared" si="81"/>
        <v/>
      </c>
      <c r="O212" s="39" t="str">
        <f t="shared" si="82"/>
        <v/>
      </c>
      <c r="P212" s="20" t="str">
        <f>IF(B212&lt;ROTTE!$B$1,B212,"")</f>
        <v/>
      </c>
      <c r="Q212" s="39" t="e">
        <f t="shared" si="85"/>
        <v>#N/A</v>
      </c>
      <c r="R212" s="39" t="e">
        <f t="shared" si="86"/>
        <v>#N/A</v>
      </c>
      <c r="T212" s="39">
        <f t="shared" si="105"/>
        <v>0</v>
      </c>
    </row>
    <row r="213" spans="1:20">
      <c r="A213" s="20">
        <f>A211+1</f>
        <v>37</v>
      </c>
      <c r="B213" s="20">
        <v>74</v>
      </c>
      <c r="C213" s="80">
        <f>$B$131*(A213-1)/$B$93</f>
        <v>9.6147595678934834E-5</v>
      </c>
      <c r="D213" s="70">
        <f>IF(I213&gt;=0,ASIN(SIN($D$100)*COS(C213)+COS($D$100)*SIN(C213)*COS($C$121)),ASIN(SIN($D$103)*COS(ABS(I213)*SIN($B$132)/SIN($B$133)/$B$93)+COS($D$103)*SIN(ABS(I213)*SIN($B$132)/SIN($B$133)/$B$93)*COS($C$125)))</f>
        <v>0.80066334105912873</v>
      </c>
      <c r="E213" s="70">
        <f>IF(I213&gt;=0,$E$100+ATAN2(COS(C213)-SIN($D$100)*SIN(D213),SIN($C$121)*SIN(C213)*COS($D$100)),$E$103+ATAN2(COS(ABS(I213)*SIN($B$132)/SIN($B$133)/$B$93)-SIN($D$103)*SIN(D213),SIN($C$125)*SIN(ABS(I213)*SIN($B$132)/SIN($B$133)/$B$93)*COS($D$103)))</f>
        <v>0.18774815802989092</v>
      </c>
      <c r="F213" s="14">
        <f t="shared" si="110"/>
        <v>45.87463025353167</v>
      </c>
      <c r="G213" s="14">
        <f t="shared" si="111"/>
        <v>10.757177066467968</v>
      </c>
      <c r="H213" s="39">
        <f t="shared" si="109"/>
        <v>612.72916275408852</v>
      </c>
      <c r="I213" s="39">
        <f>$E$121-H213</f>
        <v>-392.51976896994347</v>
      </c>
      <c r="K213" s="14" t="str">
        <f>IF(ROTTE!C102&lt;&gt;"",LN(TAN(D213/2+PI()/4)/TAN($D$140/2+PI()/4)),"")</f>
        <v/>
      </c>
      <c r="L213" s="14" t="str">
        <f>IF(ROTTE!D102&lt;&gt;"",E213-$E$140,"")</f>
        <v/>
      </c>
      <c r="M213" s="14" t="str">
        <f t="shared" si="106"/>
        <v/>
      </c>
      <c r="N213" s="70" t="str">
        <f t="shared" si="81"/>
        <v/>
      </c>
      <c r="O213" s="39" t="str">
        <f t="shared" si="82"/>
        <v/>
      </c>
      <c r="P213" s="20" t="str">
        <f>IF(B213&lt;ROTTE!$B$1,B213,"")</f>
        <v/>
      </c>
      <c r="Q213" s="39" t="e">
        <f t="shared" si="85"/>
        <v>#N/A</v>
      </c>
      <c r="R213" s="39" t="e">
        <f t="shared" si="86"/>
        <v>#N/A</v>
      </c>
      <c r="T213" s="39">
        <f t="shared" si="105"/>
        <v>0</v>
      </c>
    </row>
    <row r="214" spans="1:20">
      <c r="A214" s="20">
        <f>A213</f>
        <v>37</v>
      </c>
      <c r="B214" s="20">
        <v>75</v>
      </c>
      <c r="C214" s="80">
        <f>$B$129*(A214-1)/$B$93</f>
        <v>9.7051439875162746E-5</v>
      </c>
      <c r="D214" s="70">
        <f>IF(I214&gt;=0,ASIN(SIN($D$101)*COS(C214)+COS($D$101)*SIN(C214)*COS($C$113)),ASIN(SIN($D$102)*COS(ABS(I214)*SIN($B$134)/SIN($B$135)/$B$93)+COS($D$102)*SIN(ABS(I214)*SIN($B$134)/SIN($B$135)/$B$93)*COS($C$117)))</f>
        <v>0.80066332972890775</v>
      </c>
      <c r="E214" s="70">
        <f>IF(I214&gt;=0,$E$101+ATAN2(COS(C214)-SIN($D$101)*SIN(D214),SIN($C$113)*SIN(C214)*COS($D$101)),$E$102+ATAN2(COS(ABS(I214)*SIN($B$134)/SIN($B$135)/$B$93)-SIN($D$102)*SIN(D214),SIN($C$117)*SIN(ABS(I214)*SIN($B$134)/SIN($B$135)/$B$93)*COS($D$102)))</f>
        <v>0.18774814783206403</v>
      </c>
      <c r="F214" s="14">
        <f t="shared" ref="F214:F238" si="112">D214*180/PI()</f>
        <v>45.874629604357828</v>
      </c>
      <c r="G214" s="14">
        <f t="shared" ref="G214:G238" si="113">E214*180/PI()</f>
        <v>10.757176482175526</v>
      </c>
      <c r="H214" s="39">
        <f t="shared" si="109"/>
        <v>618.48917883877789</v>
      </c>
      <c r="I214" s="39">
        <f>$E$113-H214</f>
        <v>-522.48988598091648</v>
      </c>
      <c r="K214" s="14" t="str">
        <f>IF(ROTTE!C103&lt;&gt;"",LN(TAN(D214/2+PI()/4)/TAN($D$140/2+PI()/4)),"")</f>
        <v/>
      </c>
      <c r="L214" s="14" t="str">
        <f>IF(ROTTE!D103&lt;&gt;"",E214-$E$140,"")</f>
        <v/>
      </c>
      <c r="M214" s="14" t="str">
        <f t="shared" si="106"/>
        <v/>
      </c>
      <c r="N214" s="70" t="str">
        <f t="shared" si="81"/>
        <v/>
      </c>
      <c r="O214" s="39" t="str">
        <f t="shared" si="82"/>
        <v/>
      </c>
      <c r="P214" s="20" t="str">
        <f>IF(B214&lt;ROTTE!$B$1,B214,"")</f>
        <v/>
      </c>
      <c r="Q214" s="39" t="e">
        <f t="shared" si="85"/>
        <v>#N/A</v>
      </c>
      <c r="R214" s="39" t="e">
        <f t="shared" si="86"/>
        <v>#N/A</v>
      </c>
      <c r="T214" s="39">
        <f t="shared" si="105"/>
        <v>0</v>
      </c>
    </row>
    <row r="215" spans="1:20">
      <c r="A215" s="20">
        <f>A213+1</f>
        <v>38</v>
      </c>
      <c r="B215" s="20">
        <v>76</v>
      </c>
      <c r="C215" s="80">
        <f>$B$129*(A215-1)/$B$93</f>
        <v>9.9747313205028379E-5</v>
      </c>
      <c r="D215" s="70">
        <f>IF(I215&gt;=0,ASIN(SIN($D$101)*COS(C215)+COS($D$101)*SIN(C215)*COS($C$113)),ASIN(SIN($D$102)*COS(ABS(I215)*SIN($B$134)/SIN($B$135)/$B$93)+COS($D$102)*SIN(ABS(I215)*SIN($B$134)/SIN($B$135)/$B$93)*COS($C$117)))</f>
        <v>0.80067012249395708</v>
      </c>
      <c r="E215" s="70">
        <f>IF(I215&gt;=0,$E$101+ATAN2(COS(C215)-SIN($D$101)*SIN(D215),SIN($C$113)*SIN(C215)*COS($D$101)),$E$102+ATAN2(COS(ABS(I215)*SIN($B$134)/SIN($B$135)/$B$93)-SIN($D$102)*SIN(D215),SIN($C$117)*SIN(ABS(I215)*SIN($B$134)/SIN($B$135)/$B$93)*COS($D$102)))</f>
        <v>0.18773848906969134</v>
      </c>
      <c r="F215" s="14">
        <f t="shared" si="112"/>
        <v>45.87501880112638</v>
      </c>
      <c r="G215" s="14">
        <f t="shared" si="113"/>
        <v>10.756623075856252</v>
      </c>
      <c r="H215" s="39">
        <f t="shared" si="109"/>
        <v>635.66943380652174</v>
      </c>
      <c r="I215" s="39">
        <f>$E$113-H215</f>
        <v>-539.67014094866033</v>
      </c>
      <c r="K215" s="14" t="str">
        <f>IF(ROTTE!C104&lt;&gt;"",LN(TAN(D215/2+PI()/4)/TAN($D$140/2+PI()/4)),"")</f>
        <v/>
      </c>
      <c r="L215" s="14" t="str">
        <f>IF(ROTTE!D104&lt;&gt;"",E215-$E$140,"")</f>
        <v/>
      </c>
      <c r="M215" s="14" t="str">
        <f t="shared" si="106"/>
        <v/>
      </c>
      <c r="N215" s="70" t="str">
        <f t="shared" si="81"/>
        <v/>
      </c>
      <c r="O215" s="39" t="str">
        <f t="shared" si="82"/>
        <v/>
      </c>
      <c r="P215" s="20" t="str">
        <f>IF(B215&lt;ROTTE!$B$1,B215,"")</f>
        <v/>
      </c>
      <c r="Q215" s="39" t="e">
        <f t="shared" si="85"/>
        <v>#N/A</v>
      </c>
      <c r="R215" s="39" t="e">
        <f t="shared" si="86"/>
        <v>#N/A</v>
      </c>
      <c r="T215" s="39">
        <f t="shared" si="105"/>
        <v>0</v>
      </c>
    </row>
    <row r="216" spans="1:20">
      <c r="A216" s="20">
        <f>A215</f>
        <v>38</v>
      </c>
      <c r="B216" s="20">
        <v>77</v>
      </c>
      <c r="C216" s="80">
        <f>$B$131*(A216-1)/$B$93</f>
        <v>9.8818362225571899E-5</v>
      </c>
      <c r="D216" s="70">
        <f>IF(I216&gt;=0,ASIN(SIN($D$100)*COS(C216)+COS($D$100)*SIN(C216)*COS($C$121)),ASIN(SIN($D$103)*COS(ABS(I216)*SIN($B$132)/SIN($B$133)/$B$93)+COS($D$103)*SIN(ABS(I216)*SIN($B$132)/SIN($B$133)/$B$93)*COS($C$125)))</f>
        <v>0.80067013416673505</v>
      </c>
      <c r="E216" s="70">
        <f>IF(I216&gt;=0,$E$100+ATAN2(COS(C216)-SIN($D$100)*SIN(D216),SIN($C$121)*SIN(C216)*COS($D$100)),$E$103+ATAN2(COS(ABS(I216)*SIN($B$132)/SIN($B$133)/$B$93)-SIN($D$103)*SIN(D216),SIN($C$125)*SIN(ABS(I216)*SIN($B$132)/SIN($B$133)/$B$93)*COS($D$103)))</f>
        <v>0.18773849976442711</v>
      </c>
      <c r="F216" s="14">
        <f t="shared" si="112"/>
        <v>45.875019469927288</v>
      </c>
      <c r="G216" s="14">
        <f t="shared" si="113"/>
        <v>10.756623688619474</v>
      </c>
      <c r="H216" s="39">
        <f t="shared" si="109"/>
        <v>629.7494172750354</v>
      </c>
      <c r="I216" s="39">
        <f>$E$121-H216</f>
        <v>-409.54002349089035</v>
      </c>
      <c r="K216" s="14" t="str">
        <f>IF(ROTTE!C105&lt;&gt;"",LN(TAN(D216/2+PI()/4)/TAN($D$140/2+PI()/4)),"")</f>
        <v/>
      </c>
      <c r="L216" s="14" t="str">
        <f>IF(ROTTE!D105&lt;&gt;"",E216-$E$140,"")</f>
        <v/>
      </c>
      <c r="M216" s="14" t="str">
        <f t="shared" si="106"/>
        <v/>
      </c>
      <c r="N216" s="70" t="str">
        <f t="shared" si="81"/>
        <v/>
      </c>
      <c r="O216" s="39" t="str">
        <f t="shared" si="82"/>
        <v/>
      </c>
      <c r="P216" s="20" t="str">
        <f>IF(B216&lt;ROTTE!$B$1,B216,"")</f>
        <v/>
      </c>
      <c r="Q216" s="39" t="e">
        <f t="shared" si="85"/>
        <v>#N/A</v>
      </c>
      <c r="R216" s="39" t="e">
        <f t="shared" si="86"/>
        <v>#N/A</v>
      </c>
      <c r="T216" s="39">
        <f t="shared" si="105"/>
        <v>0</v>
      </c>
    </row>
    <row r="217" spans="1:20">
      <c r="A217" s="20">
        <f>A215+1</f>
        <v>39</v>
      </c>
      <c r="B217" s="20">
        <v>78</v>
      </c>
      <c r="C217" s="80">
        <f>$B$131*(A217-1)/$B$93</f>
        <v>1.0148912877220898E-4</v>
      </c>
      <c r="D217" s="70">
        <f>IF(I217&gt;=0,ASIN(SIN($D$100)*COS(C217)+COS($D$100)*SIN(C217)*COS($C$121)),ASIN(SIN($D$103)*COS(ABS(I217)*SIN($B$132)/SIN($B$133)/$B$93)+COS($D$103)*SIN(ABS(I217)*SIN($B$132)/SIN($B$133)/$B$93)*COS($C$125)))</f>
        <v>0.8006769272277211</v>
      </c>
      <c r="E217" s="70">
        <f>IF(I217&gt;=0,$E$100+ATAN2(COS(C217)-SIN($D$100)*SIN(D217),SIN($C$121)*SIN(C217)*COS($D$100)),$E$103+ATAN2(COS(ABS(I217)*SIN($B$132)/SIN($B$133)/$B$93)-SIN($D$103)*SIN(D217),SIN($C$125)*SIN(ABS(I217)*SIN($B$132)/SIN($B$133)/$B$93)*COS($D$103)))</f>
        <v>0.18772884136367313</v>
      </c>
      <c r="F217" s="14">
        <f t="shared" si="112"/>
        <v>45.87540868365177</v>
      </c>
      <c r="G217" s="14">
        <f t="shared" si="113"/>
        <v>10.756070303019426</v>
      </c>
      <c r="H217" s="39">
        <f t="shared" si="109"/>
        <v>646.76967179598228</v>
      </c>
      <c r="I217" s="39">
        <f>$E$121-H217</f>
        <v>-426.56027801183723</v>
      </c>
      <c r="K217" s="14" t="str">
        <f>IF(ROTTE!C106&lt;&gt;"",LN(TAN(D217/2+PI()/4)/TAN($D$140/2+PI()/4)),"")</f>
        <v/>
      </c>
      <c r="L217" s="14" t="str">
        <f>IF(ROTTE!D106&lt;&gt;"",E217-$E$140,"")</f>
        <v/>
      </c>
      <c r="M217" s="14" t="str">
        <f t="shared" si="106"/>
        <v/>
      </c>
      <c r="N217" s="70" t="str">
        <f t="shared" si="81"/>
        <v/>
      </c>
      <c r="O217" s="39" t="str">
        <f t="shared" si="82"/>
        <v/>
      </c>
      <c r="P217" s="20" t="str">
        <f>IF(B217&lt;ROTTE!$B$1,B217,"")</f>
        <v/>
      </c>
      <c r="Q217" s="39" t="e">
        <f t="shared" si="85"/>
        <v>#N/A</v>
      </c>
      <c r="R217" s="39" t="e">
        <f t="shared" si="86"/>
        <v>#N/A</v>
      </c>
      <c r="T217" s="39">
        <f t="shared" si="105"/>
        <v>0</v>
      </c>
    </row>
    <row r="218" spans="1:20">
      <c r="A218" s="20">
        <f>A217</f>
        <v>39</v>
      </c>
      <c r="B218" s="20">
        <v>79</v>
      </c>
      <c r="C218" s="80">
        <f>$B$129*(A218-1)/$B$93</f>
        <v>1.0244318653489401E-4</v>
      </c>
      <c r="D218" s="70">
        <f>IF(I218&gt;=0,ASIN(SIN($D$101)*COS(C218)+COS($D$101)*SIN(C218)*COS($C$113)),ASIN(SIN($D$102)*COS(ABS(I218)*SIN($B$134)/SIN($B$135)/$B$93)+COS($D$102)*SIN(ABS(I218)*SIN($B$134)/SIN($B$135)/$B$93)*COS($C$117)))</f>
        <v>0.80067691521238149</v>
      </c>
      <c r="E218" s="70">
        <f>IF(I218&gt;=0,$E$101+ATAN2(COS(C218)-SIN($D$101)*SIN(D218),SIN($C$113)*SIN(C218)*COS($D$101)),$E$102+ATAN2(COS(ABS(I218)*SIN($B$134)/SIN($B$135)/$B$93)-SIN($D$102)*SIN(D218),SIN($C$117)*SIN(ABS(I218)*SIN($B$134)/SIN($B$135)/$B$93)*COS($D$102)))</f>
        <v>0.18772883017202829</v>
      </c>
      <c r="F218" s="14">
        <f t="shared" si="112"/>
        <v>45.875407995223519</v>
      </c>
      <c r="G218" s="14">
        <f t="shared" si="113"/>
        <v>10.756069661785409</v>
      </c>
      <c r="H218" s="39">
        <f t="shared" si="109"/>
        <v>652.84968877426559</v>
      </c>
      <c r="I218" s="39">
        <f>$E$113-H218</f>
        <v>-556.85039591640418</v>
      </c>
      <c r="K218" s="14" t="str">
        <f>IF(ROTTE!C107&lt;&gt;"",LN(TAN(D218/2+PI()/4)/TAN($D$140/2+PI()/4)),"")</f>
        <v/>
      </c>
      <c r="L218" s="14" t="str">
        <f>IF(ROTTE!D107&lt;&gt;"",E218-$E$140,"")</f>
        <v/>
      </c>
      <c r="M218" s="14" t="str">
        <f t="shared" si="106"/>
        <v/>
      </c>
      <c r="N218" s="70" t="str">
        <f t="shared" si="81"/>
        <v/>
      </c>
      <c r="O218" s="39" t="str">
        <f t="shared" si="82"/>
        <v/>
      </c>
      <c r="P218" s="20" t="str">
        <f>IF(B218&lt;ROTTE!$B$1,B218,"")</f>
        <v/>
      </c>
      <c r="Q218" s="39" t="e">
        <f t="shared" si="85"/>
        <v>#N/A</v>
      </c>
      <c r="R218" s="39" t="e">
        <f t="shared" si="86"/>
        <v>#N/A</v>
      </c>
      <c r="T218" s="39">
        <f t="shared" si="105"/>
        <v>0</v>
      </c>
    </row>
    <row r="219" spans="1:20">
      <c r="A219" s="20">
        <f>A217+1</f>
        <v>40</v>
      </c>
      <c r="B219" s="20">
        <v>80</v>
      </c>
      <c r="C219" s="80">
        <f>$B$129*(A219-1)/$B$93</f>
        <v>1.0513905986475966E-4</v>
      </c>
      <c r="D219" s="70">
        <f>IF(I219&gt;=0,ASIN(SIN($D$101)*COS(C219)+COS($D$101)*SIN(C219)*COS($C$113)),ASIN(SIN($D$102)*COS(ABS(I219)*SIN($B$134)/SIN($B$135)/$B$93)+COS($D$102)*SIN(ABS(I219)*SIN($B$134)/SIN($B$135)/$B$93)*COS($C$117)))</f>
        <v>0.80068370788417953</v>
      </c>
      <c r="E219" s="70">
        <f>IF(I219&gt;=0,$E$101+ATAN2(COS(C219)-SIN($D$101)*SIN(D219),SIN($C$113)*SIN(C219)*COS($D$101)),$E$102+ATAN2(COS(ABS(I219)*SIN($B$134)/SIN($B$135)/$B$93)-SIN($D$102)*SIN(D219),SIN($C$117)*SIN(ABS(I219)*SIN($B$134)/SIN($B$135)/$B$93)*COS($D$102)))</f>
        <v>0.18771917113907213</v>
      </c>
      <c r="F219" s="14">
        <f t="shared" si="112"/>
        <v>45.875797186649159</v>
      </c>
      <c r="G219" s="14">
        <f t="shared" si="113"/>
        <v>10.755516239962844</v>
      </c>
      <c r="H219" s="39">
        <f t="shared" si="109"/>
        <v>670.02994374200944</v>
      </c>
      <c r="I219" s="39">
        <f>$E$113-H219</f>
        <v>-574.03065088414803</v>
      </c>
      <c r="K219" s="14" t="str">
        <f>IF(ROTTE!C108&lt;&gt;"",LN(TAN(D219/2+PI()/4)/TAN($D$140/2+PI()/4)),"")</f>
        <v/>
      </c>
      <c r="L219" s="14" t="str">
        <f>IF(ROTTE!D108&lt;&gt;"",E219-$E$140,"")</f>
        <v/>
      </c>
      <c r="M219" s="14" t="str">
        <f t="shared" si="106"/>
        <v/>
      </c>
      <c r="N219" s="70" t="str">
        <f t="shared" si="81"/>
        <v/>
      </c>
      <c r="O219" s="39" t="str">
        <f t="shared" si="82"/>
        <v/>
      </c>
      <c r="P219" s="20" t="str">
        <f>IF(B219&lt;ROTTE!$B$1,B219,"")</f>
        <v/>
      </c>
      <c r="Q219" s="39" t="e">
        <f t="shared" si="85"/>
        <v>#N/A</v>
      </c>
      <c r="R219" s="39" t="e">
        <f t="shared" si="86"/>
        <v>#N/A</v>
      </c>
      <c r="T219" s="39">
        <f t="shared" si="105"/>
        <v>0</v>
      </c>
    </row>
    <row r="220" spans="1:20">
      <c r="A220" s="20">
        <f>A219</f>
        <v>40</v>
      </c>
      <c r="B220" s="20">
        <v>81</v>
      </c>
      <c r="C220" s="80">
        <f>$B$131*(A220-1)/$B$93</f>
        <v>1.0415989531884607E-4</v>
      </c>
      <c r="D220" s="70">
        <f>IF(I220&gt;=0,ASIN(SIN($D$100)*COS(C220)+COS($D$100)*SIN(C220)*COS($C$121)),ASIN(SIN($D$103)*COS(ABS(I220)*SIN($B$132)/SIN($B$133)/$B$93)+COS($D$103)*SIN(ABS(I220)*SIN($B$132)/SIN($B$133)/$B$93)*COS($C$125)))</f>
        <v>0.80068372024208623</v>
      </c>
      <c r="E220" s="70">
        <f>IF(I220&gt;=0,$E$100+ATAN2(COS(C220)-SIN($D$100)*SIN(D220),SIN($C$121)*SIN(C220)*COS($D$100)),$E$103+ATAN2(COS(ABS(I220)*SIN($B$132)/SIN($B$133)/$B$93)-SIN($D$103)*SIN(D220),SIN($C$125)*SIN(ABS(I220)*SIN($B$132)/SIN($B$133)/$B$93)*COS($D$103)))</f>
        <v>0.18771918282762612</v>
      </c>
      <c r="F220" s="14">
        <f t="shared" si="112"/>
        <v>45.875797894705059</v>
      </c>
      <c r="G220" s="14">
        <f t="shared" si="113"/>
        <v>10.755516909667655</v>
      </c>
      <c r="H220" s="39">
        <f t="shared" si="109"/>
        <v>663.78992631692927</v>
      </c>
      <c r="I220" s="39">
        <f>$E$121-H220</f>
        <v>-443.58053253278422</v>
      </c>
      <c r="K220" s="14" t="str">
        <f>IF(ROTTE!C109&lt;&gt;"",LN(TAN(D220/2+PI()/4)/TAN($D$140/2+PI()/4)),"")</f>
        <v/>
      </c>
      <c r="L220" s="14" t="str">
        <f>IF(ROTTE!D109&lt;&gt;"",E220-$E$140,"")</f>
        <v/>
      </c>
      <c r="M220" s="14" t="str">
        <f t="shared" si="106"/>
        <v/>
      </c>
      <c r="N220" s="70" t="str">
        <f t="shared" si="81"/>
        <v/>
      </c>
      <c r="O220" s="39" t="str">
        <f t="shared" si="82"/>
        <v/>
      </c>
      <c r="P220" s="20" t="str">
        <f>IF(B220&lt;ROTTE!$B$1,B220,"")</f>
        <v/>
      </c>
      <c r="Q220" s="39" t="e">
        <f t="shared" si="85"/>
        <v>#N/A</v>
      </c>
      <c r="R220" s="39" t="e">
        <f t="shared" si="86"/>
        <v>#N/A</v>
      </c>
      <c r="T220" s="39">
        <f t="shared" si="105"/>
        <v>0</v>
      </c>
    </row>
    <row r="221" spans="1:20">
      <c r="A221" s="20">
        <f>A219+1</f>
        <v>41</v>
      </c>
      <c r="B221" s="20">
        <v>82</v>
      </c>
      <c r="C221" s="80">
        <f>$B$131*(A221-1)/$B$93</f>
        <v>1.0683066186548315E-4</v>
      </c>
      <c r="D221" s="70">
        <f>IF(I221&gt;=0,ASIN(SIN($D$100)*COS(C221)+COS($D$100)*SIN(C221)*COS($C$121)),ASIN(SIN($D$103)*COS(ABS(I221)*SIN($B$132)/SIN($B$133)/$B$93)+COS($D$103)*SIN(ABS(I221)*SIN($B$132)/SIN($B$133)/$B$93)*COS($C$125)))</f>
        <v>0.80069051320982865</v>
      </c>
      <c r="E221" s="70">
        <f>IF(I221&gt;=0,$E$100+ATAN2(COS(C221)-SIN($D$100)*SIN(D221),SIN($C$121)*SIN(C221)*COS($D$100)),$E$103+ATAN2(COS(ABS(I221)*SIN($B$132)/SIN($B$133)/$B$93)-SIN($D$103)*SIN(D221),SIN($C$125)*SIN(ABS(I221)*SIN($B$132)/SIN($B$133)/$B$93)*COS($D$103)))</f>
        <v>0.18770952415628334</v>
      </c>
      <c r="F221" s="14">
        <f t="shared" si="112"/>
        <v>45.876187103087076</v>
      </c>
      <c r="G221" s="14">
        <f t="shared" si="113"/>
        <v>10.754963508564009</v>
      </c>
      <c r="H221" s="39">
        <f t="shared" si="109"/>
        <v>680.81018083787615</v>
      </c>
      <c r="I221" s="39">
        <f>$E$121-H221</f>
        <v>-460.6007870537311</v>
      </c>
      <c r="K221" s="14" t="str">
        <f>IF(ROTTE!C110&lt;&gt;"",LN(TAN(D221/2+PI()/4)/TAN($D$140/2+PI()/4)),"")</f>
        <v/>
      </c>
      <c r="L221" s="14" t="str">
        <f>IF(ROTTE!D110&lt;&gt;"",E221-$E$140,"")</f>
        <v/>
      </c>
      <c r="M221" s="14" t="str">
        <f t="shared" si="106"/>
        <v/>
      </c>
      <c r="N221" s="70" t="str">
        <f t="shared" si="81"/>
        <v/>
      </c>
      <c r="O221" s="39" t="str">
        <f t="shared" si="82"/>
        <v/>
      </c>
      <c r="P221" s="20" t="str">
        <f>IF(B221&lt;ROTTE!$B$1,B221,"")</f>
        <v/>
      </c>
      <c r="Q221" s="39" t="e">
        <f t="shared" si="85"/>
        <v>#N/A</v>
      </c>
      <c r="R221" s="39" t="e">
        <f t="shared" si="86"/>
        <v>#N/A</v>
      </c>
      <c r="T221" s="39">
        <f t="shared" si="105"/>
        <v>0</v>
      </c>
    </row>
    <row r="222" spans="1:20">
      <c r="A222" s="20">
        <f>A221</f>
        <v>41</v>
      </c>
      <c r="B222" s="20">
        <v>83</v>
      </c>
      <c r="C222" s="80">
        <f>$B$129*(A222-1)/$B$93</f>
        <v>1.0783493319462529E-4</v>
      </c>
      <c r="D222" s="70">
        <f>IF(I222&gt;=0,ASIN(SIN($D$101)*COS(C222)+COS($D$101)*SIN(C222)*COS($C$113)),ASIN(SIN($D$102)*COS(ABS(I222)*SIN($B$134)/SIN($B$135)/$B$93)+COS($D$102)*SIN(ABS(I222)*SIN($B$134)/SIN($B$135)/$B$93)*COS($C$117)))</f>
        <v>0.80069050050935053</v>
      </c>
      <c r="E222" s="70">
        <f>IF(I222&gt;=0,$E$101+ATAN2(COS(C222)-SIN($D$101)*SIN(D222),SIN($C$113)*SIN(C222)*COS($D$101)),$E$102+ATAN2(COS(ABS(I222)*SIN($B$134)/SIN($B$135)/$B$93)-SIN($D$102)*SIN(D222),SIN($C$117)*SIN(ABS(I222)*SIN($B$134)/SIN($B$135)/$B$93)*COS($D$102)))</f>
        <v>0.18770951197082006</v>
      </c>
      <c r="F222" s="14">
        <f t="shared" si="112"/>
        <v>45.876186375403279</v>
      </c>
      <c r="G222" s="14">
        <f t="shared" si="113"/>
        <v>10.754962810388392</v>
      </c>
      <c r="H222" s="39">
        <f t="shared" si="109"/>
        <v>687.21019870975329</v>
      </c>
      <c r="I222" s="39">
        <f>$E$113-H222</f>
        <v>-591.21090585189188</v>
      </c>
      <c r="K222" s="14" t="str">
        <f>IF(ROTTE!C111&lt;&gt;"",LN(TAN(D222/2+PI()/4)/TAN($D$140/2+PI()/4)),"")</f>
        <v/>
      </c>
      <c r="L222" s="14" t="str">
        <f>IF(ROTTE!D111&lt;&gt;"",E222-$E$140,"")</f>
        <v/>
      </c>
      <c r="M222" s="14" t="str">
        <f t="shared" si="106"/>
        <v/>
      </c>
      <c r="N222" s="70" t="str">
        <f t="shared" si="81"/>
        <v/>
      </c>
      <c r="O222" s="39" t="str">
        <f t="shared" si="82"/>
        <v/>
      </c>
      <c r="P222" s="20" t="str">
        <f>IF(B222&lt;ROTTE!$B$1,B222,"")</f>
        <v/>
      </c>
      <c r="Q222" s="39" t="e">
        <f t="shared" si="85"/>
        <v>#N/A</v>
      </c>
      <c r="R222" s="39" t="e">
        <f t="shared" si="86"/>
        <v>#N/A</v>
      </c>
      <c r="T222" s="39">
        <f t="shared" si="105"/>
        <v>0</v>
      </c>
    </row>
    <row r="223" spans="1:20">
      <c r="A223" s="20">
        <f>A221+1</f>
        <v>42</v>
      </c>
      <c r="B223" s="20">
        <v>84</v>
      </c>
      <c r="C223" s="80">
        <f>$B$129*(A223-1)/$B$93</f>
        <v>1.1053080652449092E-4</v>
      </c>
      <c r="D223" s="70">
        <f>IF(I223&gt;=0,ASIN(SIN($D$101)*COS(C223)+COS($D$101)*SIN(C223)*COS($C$113)),ASIN(SIN($D$102)*COS(ABS(I223)*SIN($B$134)/SIN($B$135)/$B$93)+COS($D$102)*SIN(ABS(I223)*SIN($B$134)/SIN($B$135)/$B$93)*COS($C$117)))</f>
        <v>0.80069729308789295</v>
      </c>
      <c r="E223" s="70">
        <f>IF(I223&gt;=0,$E$101+ATAN2(COS(C223)-SIN($D$101)*SIN(D223),SIN($C$113)*SIN(C223)*COS($D$101)),$E$102+ATAN2(COS(ABS(I223)*SIN($B$134)/SIN($B$135)/$B$93)-SIN($D$102)*SIN(D223),SIN($C$117)*SIN(ABS(I223)*SIN($B$134)/SIN($B$135)/$B$93)*COS($D$102)))</f>
        <v>0.18769985266726921</v>
      </c>
      <c r="F223" s="14">
        <f t="shared" si="112"/>
        <v>45.876575561485765</v>
      </c>
      <c r="G223" s="14">
        <f t="shared" si="113"/>
        <v>10.754409373061895</v>
      </c>
      <c r="H223" s="39">
        <f t="shared" si="109"/>
        <v>704.39045367749713</v>
      </c>
      <c r="I223" s="39">
        <f>$E$113-H223</f>
        <v>-608.39116081963573</v>
      </c>
      <c r="K223" s="14" t="str">
        <f>IF(ROTTE!C112&lt;&gt;"",LN(TAN(D223/2+PI()/4)/TAN($D$140/2+PI()/4)),"")</f>
        <v/>
      </c>
      <c r="L223" s="14" t="str">
        <f>IF(ROTTE!D112&lt;&gt;"",E223-$E$140,"")</f>
        <v/>
      </c>
      <c r="M223" s="14" t="str">
        <f t="shared" si="106"/>
        <v/>
      </c>
      <c r="N223" s="70" t="str">
        <f t="shared" si="81"/>
        <v/>
      </c>
      <c r="O223" s="39" t="str">
        <f t="shared" si="82"/>
        <v/>
      </c>
      <c r="P223" s="20" t="str">
        <f>IF(B223&lt;ROTTE!$B$1,B223,"")</f>
        <v/>
      </c>
      <c r="Q223" s="39" t="e">
        <f t="shared" si="85"/>
        <v>#N/A</v>
      </c>
      <c r="R223" s="39" t="e">
        <f t="shared" si="86"/>
        <v>#N/A</v>
      </c>
      <c r="T223" s="39">
        <f t="shared" si="105"/>
        <v>0</v>
      </c>
    </row>
    <row r="224" spans="1:20">
      <c r="A224" s="20">
        <f>A223</f>
        <v>42</v>
      </c>
      <c r="B224" s="20">
        <v>85</v>
      </c>
      <c r="C224" s="80">
        <f>$B$131*(A224-1)/$B$93</f>
        <v>1.0950142841212023E-4</v>
      </c>
      <c r="D224" s="70">
        <f>IF(I224&gt;=0,ASIN(SIN($D$100)*COS(C224)+COS($D$100)*SIN(C224)*COS($C$121)),ASIN(SIN($D$103)*COS(ABS(I224)*SIN($B$132)/SIN($B$133)/$B$93)+COS($D$103)*SIN(ABS(I224)*SIN($B$132)/SIN($B$133)/$B$93)*COS($C$125)))</f>
        <v>0.80069730613094725</v>
      </c>
      <c r="E224" s="70">
        <f>IF(I224&gt;=0,$E$100+ATAN2(COS(C224)-SIN($D$100)*SIN(D224),SIN($C$121)*SIN(C224)*COS($D$100)),$E$103+ATAN2(COS(ABS(I224)*SIN($B$132)/SIN($B$133)/$B$93)-SIN($D$103)*SIN(D224),SIN($C$125)*SIN(ABS(I224)*SIN($B$132)/SIN($B$133)/$B$93)*COS($D$103)))</f>
        <v>0.18769986534964192</v>
      </c>
      <c r="F224" s="14">
        <f t="shared" si="112"/>
        <v>45.876576308797731</v>
      </c>
      <c r="G224" s="14">
        <f t="shared" si="113"/>
        <v>10.754410099708323</v>
      </c>
      <c r="H224" s="39">
        <f t="shared" si="109"/>
        <v>697.83043535882302</v>
      </c>
      <c r="I224" s="39">
        <f>$E$121-H224</f>
        <v>-477.62104157467797</v>
      </c>
      <c r="K224" s="14" t="str">
        <f>IF(ROTTE!C113&lt;&gt;"",LN(TAN(D224/2+PI()/4)/TAN($D$140/2+PI()/4)),"")</f>
        <v/>
      </c>
      <c r="L224" s="14" t="str">
        <f>IF(ROTTE!D113&lt;&gt;"",E224-$E$140,"")</f>
        <v/>
      </c>
      <c r="M224" s="14" t="str">
        <f t="shared" si="106"/>
        <v/>
      </c>
      <c r="N224" s="70" t="str">
        <f t="shared" si="81"/>
        <v/>
      </c>
      <c r="O224" s="39" t="str">
        <f t="shared" si="82"/>
        <v/>
      </c>
      <c r="P224" s="20" t="str">
        <f>IF(B224&lt;ROTTE!$B$1,B224,"")</f>
        <v/>
      </c>
      <c r="Q224" s="39" t="e">
        <f t="shared" si="85"/>
        <v>#N/A</v>
      </c>
      <c r="R224" s="39" t="e">
        <f t="shared" si="86"/>
        <v>#N/A</v>
      </c>
      <c r="T224" s="39">
        <f t="shared" si="105"/>
        <v>0</v>
      </c>
    </row>
    <row r="225" spans="1:20">
      <c r="A225" s="20">
        <f>A223+1</f>
        <v>43</v>
      </c>
      <c r="B225" s="20">
        <v>86</v>
      </c>
      <c r="C225" s="80">
        <f>$B$131*(A225-1)/$B$93</f>
        <v>1.1217219495875729E-4</v>
      </c>
      <c r="D225" s="70">
        <f>IF(I225&gt;=0,ASIN(SIN($D$100)*COS(C225)+COS($D$100)*SIN(C225)*COS($C$121)),ASIN(SIN($D$103)*COS(ABS(I225)*SIN($B$132)/SIN($B$133)/$B$93)+COS($D$103)*SIN(ABS(I225)*SIN($B$132)/SIN($B$133)/$B$93)*COS($C$125)))</f>
        <v>0.80070409900544082</v>
      </c>
      <c r="E225" s="70">
        <f>IF(I225&gt;=0,$E$100+ATAN2(COS(C225)-SIN($D$100)*SIN(D225),SIN($C$121)*SIN(C225)*COS($D$100)),$E$103+ATAN2(COS(ABS(I225)*SIN($B$132)/SIN($B$133)/$B$93)-SIN($D$103)*SIN(D225),SIN($C$125)*SIN(ABS(I225)*SIN($B$132)/SIN($B$133)/$B$93)*COS($D$103)))</f>
        <v>0.18769020640769912</v>
      </c>
      <c r="F225" s="14">
        <f t="shared" si="112"/>
        <v>45.876965511836978</v>
      </c>
      <c r="G225" s="14">
        <f t="shared" si="113"/>
        <v>10.753856683100441</v>
      </c>
      <c r="H225" s="39">
        <f t="shared" si="109"/>
        <v>714.8506898797699</v>
      </c>
      <c r="I225" s="39">
        <f>$E$121-H225</f>
        <v>-494.64129609562485</v>
      </c>
      <c r="K225" s="14" t="str">
        <f>IF(ROTTE!C114&lt;&gt;"",LN(TAN(D225/2+PI()/4)/TAN($D$140/2+PI()/4)),"")</f>
        <v/>
      </c>
      <c r="L225" s="14" t="str">
        <f>IF(ROTTE!D114&lt;&gt;"",E225-$E$140,"")</f>
        <v/>
      </c>
      <c r="M225" s="14" t="str">
        <f t="shared" si="106"/>
        <v/>
      </c>
      <c r="N225" s="70" t="str">
        <f t="shared" si="81"/>
        <v/>
      </c>
      <c r="O225" s="39" t="str">
        <f t="shared" si="82"/>
        <v/>
      </c>
      <c r="P225" s="20" t="str">
        <f>IF(B225&lt;ROTTE!$B$1,B225,"")</f>
        <v/>
      </c>
      <c r="Q225" s="39" t="e">
        <f t="shared" si="85"/>
        <v>#N/A</v>
      </c>
      <c r="R225" s="39" t="e">
        <f t="shared" si="86"/>
        <v>#N/A</v>
      </c>
      <c r="T225" s="39">
        <f t="shared" si="105"/>
        <v>0</v>
      </c>
    </row>
    <row r="226" spans="1:20">
      <c r="A226" s="20">
        <f>A225</f>
        <v>43</v>
      </c>
      <c r="B226" s="20">
        <v>87</v>
      </c>
      <c r="C226" s="80">
        <f>$B$129*(A226-1)/$B$93</f>
        <v>1.1322667985435654E-4</v>
      </c>
      <c r="D226" s="70">
        <f>IF(I226&gt;=0,ASIN(SIN($D$101)*COS(C226)+COS($D$101)*SIN(C226)*COS($C$113)),ASIN(SIN($D$102)*COS(ABS(I226)*SIN($B$134)/SIN($B$135)/$B$93)+COS($D$102)*SIN(ABS(I226)*SIN($B$134)/SIN($B$135)/$B$93)*COS($C$117)))</f>
        <v>0.80070408561980544</v>
      </c>
      <c r="E226" s="70">
        <f>IF(I226&gt;=0,$E$101+ATAN2(COS(C226)-SIN($D$101)*SIN(D226),SIN($C$113)*SIN(C226)*COS($D$101)),$E$102+ATAN2(COS(ABS(I226)*SIN($B$134)/SIN($B$135)/$B$93)-SIN($D$102)*SIN(D226),SIN($C$117)*SIN(ABS(I226)*SIN($B$134)/SIN($B$135)/$B$93)*COS($D$102)))</f>
        <v>0.18769019322841685</v>
      </c>
      <c r="F226" s="14">
        <f t="shared" si="112"/>
        <v>45.876964744896561</v>
      </c>
      <c r="G226" s="14">
        <f t="shared" si="113"/>
        <v>10.753855927983189</v>
      </c>
      <c r="H226" s="39">
        <f t="shared" si="109"/>
        <v>721.57070864524087</v>
      </c>
      <c r="I226" s="39">
        <f>$E$113-H226</f>
        <v>-625.57141578737946</v>
      </c>
      <c r="K226" s="14" t="str">
        <f>IF(ROTTE!C115&lt;&gt;"",LN(TAN(D226/2+PI()/4)/TAN($D$140/2+PI()/4)),"")</f>
        <v/>
      </c>
      <c r="L226" s="14" t="str">
        <f>IF(ROTTE!D115&lt;&gt;"",E226-$E$140,"")</f>
        <v/>
      </c>
      <c r="M226" s="14" t="str">
        <f t="shared" si="106"/>
        <v/>
      </c>
      <c r="N226" s="70" t="str">
        <f t="shared" si="81"/>
        <v/>
      </c>
      <c r="O226" s="39" t="str">
        <f t="shared" si="82"/>
        <v/>
      </c>
      <c r="P226" s="20" t="str">
        <f>IF(B226&lt;ROTTE!$B$1,B226,"")</f>
        <v/>
      </c>
      <c r="Q226" s="39" t="e">
        <f t="shared" si="85"/>
        <v>#N/A</v>
      </c>
      <c r="R226" s="39" t="e">
        <f t="shared" si="86"/>
        <v>#N/A</v>
      </c>
      <c r="T226" s="39">
        <f t="shared" si="105"/>
        <v>0</v>
      </c>
    </row>
    <row r="227" spans="1:20">
      <c r="A227" s="20">
        <f>A225+1</f>
        <v>44</v>
      </c>
      <c r="B227" s="20">
        <v>88</v>
      </c>
      <c r="C227" s="80">
        <f>$B$129*(A227-1)/$B$93</f>
        <v>1.1592255318422218E-4</v>
      </c>
      <c r="D227" s="70">
        <f>IF(I227&gt;=0,ASIN(SIN($D$101)*COS(C227)+COS($D$101)*SIN(C227)*COS($C$113)),ASIN(SIN($D$102)*COS(ABS(I227)*SIN($B$134)/SIN($B$135)/$B$93)+COS($D$102)*SIN(ABS(I227)*SIN($B$134)/SIN($B$135)/$B$93)*COS($C$117)))</f>
        <v>0.80071087810508668</v>
      </c>
      <c r="E227" s="70">
        <f>IF(I227&gt;=0,$E$101+ATAN2(COS(C227)-SIN($D$101)*SIN(D227),SIN($C$113)*SIN(C227)*COS($D$101)),$E$102+ATAN2(COS(ABS(I227)*SIN($B$134)/SIN($B$135)/$B$93)-SIN($D$102)*SIN(D227),SIN($C$117)*SIN(ABS(I227)*SIN($B$134)/SIN($B$135)/$B$93)*COS($D$102)))</f>
        <v>0.1876805336542601</v>
      </c>
      <c r="F227" s="14">
        <f t="shared" si="112"/>
        <v>45.877353925635582</v>
      </c>
      <c r="G227" s="14">
        <f t="shared" si="113"/>
        <v>10.753302475152115</v>
      </c>
      <c r="H227" s="39">
        <f t="shared" si="109"/>
        <v>738.75096361298472</v>
      </c>
      <c r="I227" s="39">
        <f>$E$113-H227</f>
        <v>-642.75167075512331</v>
      </c>
      <c r="K227" s="14" t="str">
        <f>IF(ROTTE!C116&lt;&gt;"",LN(TAN(D227/2+PI()/4)/TAN($D$140/2+PI()/4)),"")</f>
        <v/>
      </c>
      <c r="L227" s="14" t="str">
        <f>IF(ROTTE!D116&lt;&gt;"",E227-$E$140,"")</f>
        <v/>
      </c>
      <c r="M227" s="14" t="str">
        <f t="shared" si="106"/>
        <v/>
      </c>
      <c r="N227" s="70" t="str">
        <f t="shared" si="81"/>
        <v/>
      </c>
      <c r="O227" s="39" t="str">
        <f t="shared" si="82"/>
        <v/>
      </c>
      <c r="P227" s="20" t="str">
        <f>IF(B227&lt;ROTTE!$B$1,B227,"")</f>
        <v/>
      </c>
      <c r="Q227" s="39" t="e">
        <f t="shared" si="85"/>
        <v>#N/A</v>
      </c>
      <c r="R227" s="39" t="e">
        <f t="shared" si="86"/>
        <v>#N/A</v>
      </c>
      <c r="T227" s="39">
        <f t="shared" si="105"/>
        <v>0</v>
      </c>
    </row>
    <row r="228" spans="1:20">
      <c r="A228" s="20">
        <f>A227</f>
        <v>44</v>
      </c>
      <c r="B228" s="20">
        <v>89</v>
      </c>
      <c r="C228" s="80">
        <f>$B$131*(A228-1)/$B$93</f>
        <v>1.1484296150539437E-4</v>
      </c>
      <c r="D228" s="70">
        <f>IF(I228&gt;=0,ASIN(SIN($D$100)*COS(C228)+COS($D$100)*SIN(C228)*COS($C$121)),ASIN(SIN($D$103)*COS(ABS(I228)*SIN($B$132)/SIN($B$133)/$B$93)+COS($D$103)*SIN(ABS(I228)*SIN($B$132)/SIN($B$133)/$B$93)*COS($C$125)))</f>
        <v>0.8007108918333079</v>
      </c>
      <c r="E228" s="70">
        <f>IF(I228&gt;=0,$E$100+ATAN2(COS(C228)-SIN($D$100)*SIN(D228),SIN($C$121)*SIN(C228)*COS($D$100)),$E$103+ATAN2(COS(ABS(I228)*SIN($B$132)/SIN($B$133)/$B$93)-SIN($D$103)*SIN(D228),SIN($C$125)*SIN(ABS(I228)*SIN($B$132)/SIN($B$133)/$B$93)*COS($D$103)))</f>
        <v>0.18768054733045209</v>
      </c>
      <c r="F228" s="14">
        <f t="shared" si="112"/>
        <v>45.87735471220472</v>
      </c>
      <c r="G228" s="14">
        <f t="shared" si="113"/>
        <v>10.753303258740193</v>
      </c>
      <c r="H228" s="39">
        <f t="shared" si="109"/>
        <v>731.87094440071678</v>
      </c>
      <c r="I228" s="39">
        <f>$E$121-H228</f>
        <v>-511.66155061657173</v>
      </c>
      <c r="K228" s="14" t="str">
        <f>IF(ROTTE!C117&lt;&gt;"",LN(TAN(D228/2+PI()/4)/TAN($D$140/2+PI()/4)),"")</f>
        <v/>
      </c>
      <c r="L228" s="14" t="str">
        <f>IF(ROTTE!D117&lt;&gt;"",E228-$E$140,"")</f>
        <v/>
      </c>
      <c r="M228" s="14" t="str">
        <f t="shared" si="106"/>
        <v/>
      </c>
      <c r="N228" s="70" t="str">
        <f t="shared" si="81"/>
        <v/>
      </c>
      <c r="O228" s="39" t="str">
        <f t="shared" si="82"/>
        <v/>
      </c>
      <c r="P228" s="20" t="str">
        <f>IF(B228&lt;ROTTE!$B$1,B228,"")</f>
        <v/>
      </c>
      <c r="Q228" s="39" t="e">
        <f t="shared" si="85"/>
        <v>#N/A</v>
      </c>
      <c r="R228" s="39" t="e">
        <f t="shared" si="86"/>
        <v>#N/A</v>
      </c>
      <c r="T228" s="39">
        <f t="shared" si="105"/>
        <v>0</v>
      </c>
    </row>
    <row r="229" spans="1:20">
      <c r="A229" s="20">
        <f>A227+1</f>
        <v>45</v>
      </c>
      <c r="B229" s="20">
        <v>90</v>
      </c>
      <c r="C229" s="80">
        <f>$B$131*(A229-1)/$B$93</f>
        <v>1.1751372805203146E-4</v>
      </c>
      <c r="D229" s="70">
        <f>IF(I229&gt;=0,ASIN(SIN($D$100)*COS(C229)+COS($D$100)*SIN(C229)*COS($C$121)),ASIN(SIN($D$103)*COS(ABS(I229)*SIN($B$132)/SIN($B$133)/$B$93)+COS($D$103)*SIN(ABS(I229)*SIN($B$132)/SIN($B$133)/$B$93)*COS($C$125)))</f>
        <v>0.80071768461454751</v>
      </c>
      <c r="E229" s="70">
        <f>IF(I229&gt;=0,$E$100+ATAN2(COS(C229)-SIN($D$100)*SIN(D229),SIN($C$121)*SIN(C229)*COS($D$100)),$E$103+ATAN2(COS(ABS(I229)*SIN($B$132)/SIN($B$133)/$B$93)-SIN($D$103)*SIN(D229),SIN($C$125)*SIN(ABS(I229)*SIN($B$132)/SIN($B$133)/$B$93)*COS($D$103)))</f>
        <v>0.18767088811789803</v>
      </c>
      <c r="F229" s="14">
        <f t="shared" si="112"/>
        <v>45.877743909900907</v>
      </c>
      <c r="G229" s="14">
        <f t="shared" si="113"/>
        <v>10.752749826627428</v>
      </c>
      <c r="H229" s="39">
        <f t="shared" si="109"/>
        <v>748.89119892166377</v>
      </c>
      <c r="I229" s="39">
        <f>$E$121-H229</f>
        <v>-528.68180513751872</v>
      </c>
      <c r="K229" s="14" t="str">
        <f>IF(ROTTE!C118&lt;&gt;"",LN(TAN(D229/2+PI()/4)/TAN($D$140/2+PI()/4)),"")</f>
        <v/>
      </c>
      <c r="L229" s="14" t="str">
        <f>IF(ROTTE!D118&lt;&gt;"",E229-$E$140,"")</f>
        <v/>
      </c>
      <c r="M229" s="14" t="str">
        <f t="shared" si="106"/>
        <v/>
      </c>
      <c r="N229" s="70" t="str">
        <f t="shared" si="81"/>
        <v/>
      </c>
      <c r="O229" s="39" t="str">
        <f t="shared" si="82"/>
        <v/>
      </c>
      <c r="P229" s="20" t="str">
        <f>IF(B229&lt;ROTTE!$B$1,B229,"")</f>
        <v/>
      </c>
      <c r="Q229" s="39" t="e">
        <f t="shared" si="85"/>
        <v>#N/A</v>
      </c>
      <c r="R229" s="39" t="e">
        <f t="shared" si="86"/>
        <v>#N/A</v>
      </c>
      <c r="T229" s="39">
        <f t="shared" si="105"/>
        <v>0</v>
      </c>
    </row>
    <row r="230" spans="1:20">
      <c r="A230" s="20">
        <f>A229</f>
        <v>45</v>
      </c>
      <c r="B230" s="20">
        <v>91</v>
      </c>
      <c r="C230" s="80">
        <f>$B$129*(A230-1)/$B$93</f>
        <v>1.1861842651408781E-4</v>
      </c>
      <c r="D230" s="70">
        <f>IF(I230&gt;=0,ASIN(SIN($D$101)*COS(C230)+COS($D$101)*SIN(C230)*COS($C$113)),ASIN(SIN($D$102)*COS(ABS(I230)*SIN($B$134)/SIN($B$135)/$B$93)+COS($D$102)*SIN(ABS(I230)*SIN($B$134)/SIN($B$135)/$B$93)*COS($C$117)))</f>
        <v>0.80071767054373566</v>
      </c>
      <c r="E230" s="70">
        <f>IF(I230&gt;=0,$E$101+ATAN2(COS(C230)-SIN($D$101)*SIN(D230),SIN($C$113)*SIN(C230)*COS($D$101)),$E$102+ATAN2(COS(ABS(I230)*SIN($B$134)/SIN($B$135)/$B$93)-SIN($D$102)*SIN(D230),SIN($C$117)*SIN(ABS(I230)*SIN($B$134)/SIN($B$135)/$B$93)*COS($D$102)))</f>
        <v>0.1876708739447962</v>
      </c>
      <c r="F230" s="14">
        <f t="shared" si="112"/>
        <v>45.87774310370277</v>
      </c>
      <c r="G230" s="14">
        <f t="shared" si="113"/>
        <v>10.75274901456851</v>
      </c>
      <c r="H230" s="39">
        <f t="shared" si="109"/>
        <v>755.93121858072857</v>
      </c>
      <c r="I230" s="39">
        <f>$E$113-H230</f>
        <v>-659.93192572286716</v>
      </c>
      <c r="K230" s="14" t="str">
        <f>IF(ROTTE!C119&lt;&gt;"",LN(TAN(D230/2+PI()/4)/TAN($D$140/2+PI()/4)),"")</f>
        <v/>
      </c>
      <c r="L230" s="14" t="str">
        <f>IF(ROTTE!D119&lt;&gt;"",E230-$E$140,"")</f>
        <v/>
      </c>
      <c r="M230" s="14" t="str">
        <f t="shared" si="106"/>
        <v/>
      </c>
      <c r="N230" s="70" t="str">
        <f t="shared" si="81"/>
        <v/>
      </c>
      <c r="O230" s="39" t="str">
        <f t="shared" si="82"/>
        <v/>
      </c>
      <c r="P230" s="20" t="str">
        <f>IF(B230&lt;ROTTE!$B$1,B230,"")</f>
        <v/>
      </c>
      <c r="Q230" s="39" t="e">
        <f t="shared" si="85"/>
        <v>#N/A</v>
      </c>
      <c r="R230" s="39" t="e">
        <f t="shared" si="86"/>
        <v>#N/A</v>
      </c>
      <c r="T230" s="39">
        <f t="shared" si="105"/>
        <v>0</v>
      </c>
    </row>
    <row r="231" spans="1:20">
      <c r="A231" s="20">
        <f>A229+1</f>
        <v>46</v>
      </c>
      <c r="B231" s="20">
        <v>92</v>
      </c>
      <c r="C231" s="80">
        <f>$B$129*(A231-1)/$B$93</f>
        <v>1.2131429984395344E-4</v>
      </c>
      <c r="D231" s="70">
        <f>IF(I231&gt;=0,ASIN(SIN($D$101)*COS(C231)+COS($D$101)*SIN(C231)*COS($C$113)),ASIN(SIN($D$102)*COS(ABS(I231)*SIN($B$134)/SIN($B$135)/$B$93)+COS($D$102)*SIN(ABS(I231)*SIN($B$134)/SIN($B$135)/$B$93)*COS($C$117)))</f>
        <v>0.80072446293575072</v>
      </c>
      <c r="E231" s="70">
        <f>IF(I231&gt;=0,$E$101+ATAN2(COS(C231)-SIN($D$101)*SIN(D231),SIN($C$113)*SIN(C231)*COS($D$101)),$E$102+ATAN2(COS(ABS(I231)*SIN($B$134)/SIN($B$135)/$B$93)-SIN($D$102)*SIN(D231),SIN($C$117)*SIN(ABS(I231)*SIN($B$134)/SIN($B$135)/$B$93)*COS($D$102)))</f>
        <v>0.18766121410002237</v>
      </c>
      <c r="F231" s="14">
        <f t="shared" si="112"/>
        <v>45.878132279098033</v>
      </c>
      <c r="G231" s="14">
        <f t="shared" si="113"/>
        <v>10.752195546232217</v>
      </c>
      <c r="H231" s="39">
        <f t="shared" si="109"/>
        <v>773.11147354847242</v>
      </c>
      <c r="I231" s="39">
        <f>$E$113-H231</f>
        <v>-677.11218069061101</v>
      </c>
      <c r="K231" s="14" t="str">
        <f>IF(ROTTE!C120&lt;&gt;"",LN(TAN(D231/2+PI()/4)/TAN($D$140/2+PI()/4)),"")</f>
        <v/>
      </c>
      <c r="L231" s="14" t="str">
        <f>IF(ROTTE!D120&lt;&gt;"",E231-$E$140,"")</f>
        <v/>
      </c>
      <c r="M231" s="14" t="str">
        <f t="shared" si="106"/>
        <v/>
      </c>
      <c r="N231" s="70" t="str">
        <f t="shared" ref="N231:N238" si="114">IF(K231="","",M231*180/PI())</f>
        <v/>
      </c>
      <c r="O231" s="39" t="str">
        <f t="shared" ref="O231:O238" si="115">IF(K231="","",$B$93*ACOS(SIN($D$140)*SIN(D231)+COS($D$140)*COS(D231)*COS($E$140-E231)))</f>
        <v/>
      </c>
      <c r="P231" s="20" t="str">
        <f>IF(B231&lt;ROTTE!$B$1,B231,"")</f>
        <v/>
      </c>
      <c r="Q231" s="39" t="e">
        <f t="shared" si="85"/>
        <v>#N/A</v>
      </c>
      <c r="R231" s="39" t="e">
        <f t="shared" si="86"/>
        <v>#N/A</v>
      </c>
      <c r="T231" s="39">
        <f t="shared" si="105"/>
        <v>0</v>
      </c>
    </row>
    <row r="232" spans="1:20">
      <c r="A232" s="20">
        <f>A231</f>
        <v>46</v>
      </c>
      <c r="B232" s="20">
        <v>93</v>
      </c>
      <c r="C232" s="80">
        <f>$B$131*(A232-1)/$B$93</f>
        <v>1.2018449459866854E-4</v>
      </c>
      <c r="D232" s="70">
        <f>IF(I232&gt;=0,ASIN(SIN($D$100)*COS(C232)+COS($D$100)*SIN(C232)*COS($C$121)),ASIN(SIN($D$103)*COS(ABS(I232)*SIN($B$132)/SIN($B$133)/$B$93)+COS($D$103)*SIN(ABS(I232)*SIN($B$132)/SIN($B$133)/$B$93)*COS($C$125)))</f>
        <v>0.80072447734915786</v>
      </c>
      <c r="E232" s="70">
        <f>IF(I232&gt;=0,$E$100+ATAN2(COS(C232)-SIN($D$100)*SIN(D232),SIN($C$121)*SIN(C232)*COS($D$100)),$E$103+ATAN2(COS(ABS(I232)*SIN($B$132)/SIN($B$133)/$B$93)-SIN($D$103)*SIN(D232),SIN($C$125)*SIN(ABS(I232)*SIN($B$132)/SIN($B$133)/$B$93)*COS($D$103)))</f>
        <v>0.18766122877003413</v>
      </c>
      <c r="F232" s="14">
        <f t="shared" si="112"/>
        <v>45.878133104925425</v>
      </c>
      <c r="G232" s="14">
        <f t="shared" si="113"/>
        <v>10.752196386761977</v>
      </c>
      <c r="H232" s="39">
        <f t="shared" si="109"/>
        <v>765.91145344261065</v>
      </c>
      <c r="I232" s="39">
        <f>$E$121-H232</f>
        <v>-545.7020596584656</v>
      </c>
      <c r="K232" s="14" t="str">
        <f>IF(ROTTE!C121&lt;&gt;"",LN(TAN(D232/2+PI()/4)/TAN($D$140/2+PI()/4)),"")</f>
        <v/>
      </c>
      <c r="L232" s="14" t="str">
        <f>IF(ROTTE!D121&lt;&gt;"",E232-$E$140,"")</f>
        <v/>
      </c>
      <c r="M232" s="14" t="str">
        <f t="shared" si="106"/>
        <v/>
      </c>
      <c r="N232" s="70" t="str">
        <f t="shared" si="114"/>
        <v/>
      </c>
      <c r="O232" s="39" t="str">
        <f t="shared" si="115"/>
        <v/>
      </c>
      <c r="P232" s="20" t="str">
        <f>IF(B232&lt;ROTTE!$B$1,B232,"")</f>
        <v/>
      </c>
      <c r="Q232" s="39" t="e">
        <f t="shared" ref="Q232:Q238" si="116">IF(K232="",NA(),O232*COS(M232))</f>
        <v>#N/A</v>
      </c>
      <c r="R232" s="39" t="e">
        <f t="shared" ref="R232:R238" si="117">IF(K232="",NA(),O232*SIN(M232))</f>
        <v>#N/A</v>
      </c>
      <c r="T232" s="39">
        <f t="shared" si="105"/>
        <v>0</v>
      </c>
    </row>
    <row r="233" spans="1:20">
      <c r="A233" s="20">
        <f>A231+1</f>
        <v>47</v>
      </c>
      <c r="B233" s="20">
        <v>94</v>
      </c>
      <c r="C233" s="80">
        <f>$B$131*(A233-1)/$B$93</f>
        <v>1.228552611453056E-4</v>
      </c>
      <c r="D233" s="70">
        <f>IF(I233&gt;=0,ASIN(SIN($D$100)*COS(C233)+COS($D$100)*SIN(C233)*COS($C$121)),ASIN(SIN($D$103)*COS(ABS(I233)*SIN($B$132)/SIN($B$133)/$B$93)+COS($D$103)*SIN(ABS(I233)*SIN($B$132)/SIN($B$133)/$B$93)*COS($C$125)))</f>
        <v>0.8007312700371384</v>
      </c>
      <c r="E233" s="70">
        <f>IF(I233&gt;=0,$E$100+ATAN2(COS(C233)-SIN($D$100)*SIN(D233),SIN($C$121)*SIN(C233)*COS($D$100)),$E$103+ATAN2(COS(ABS(I233)*SIN($B$132)/SIN($B$133)/$B$93)-SIN($D$103)*SIN(D233),SIN($C$125)*SIN(ABS(I233)*SIN($B$132)/SIN($B$133)/$B$93)*COS($D$103)))</f>
        <v>0.18765156928685761</v>
      </c>
      <c r="F233" s="14">
        <f t="shared" si="112"/>
        <v>45.878522297278259</v>
      </c>
      <c r="G233" s="14">
        <f t="shared" si="113"/>
        <v>10.751642939143686</v>
      </c>
      <c r="H233" s="39">
        <f t="shared" si="109"/>
        <v>782.93170796355753</v>
      </c>
      <c r="I233" s="39">
        <f>$E$121-H233</f>
        <v>-562.72231417941248</v>
      </c>
      <c r="K233" s="14" t="str">
        <f>IF(ROTTE!C122&lt;&gt;"",LN(TAN(D233/2+PI()/4)/TAN($D$140/2+PI()/4)),"")</f>
        <v/>
      </c>
      <c r="L233" s="14" t="str">
        <f>IF(ROTTE!D122&lt;&gt;"",E233-$E$140,"")</f>
        <v/>
      </c>
      <c r="M233" s="14" t="str">
        <f t="shared" si="106"/>
        <v/>
      </c>
      <c r="N233" s="70" t="str">
        <f t="shared" si="114"/>
        <v/>
      </c>
      <c r="O233" s="39" t="str">
        <f t="shared" si="115"/>
        <v/>
      </c>
      <c r="P233" s="20" t="str">
        <f>IF(B233&lt;ROTTE!$B$1,B233,"")</f>
        <v/>
      </c>
      <c r="Q233" s="39" t="e">
        <f t="shared" si="116"/>
        <v>#N/A</v>
      </c>
      <c r="R233" s="39" t="e">
        <f t="shared" si="117"/>
        <v>#N/A</v>
      </c>
      <c r="T233" s="39">
        <f t="shared" si="105"/>
        <v>0</v>
      </c>
    </row>
    <row r="234" spans="1:20">
      <c r="A234" s="20">
        <f>A233</f>
        <v>47</v>
      </c>
      <c r="B234" s="20">
        <v>95</v>
      </c>
      <c r="C234" s="80">
        <f>$B$129*(A234-1)/$B$93</f>
        <v>1.2401017317381909E-4</v>
      </c>
      <c r="D234" s="70">
        <f>IF(I234&gt;=0,ASIN(SIN($D$101)*COS(C234)+COS($D$101)*SIN(C234)*COS($C$113)),ASIN(SIN($D$102)*COS(ABS(I234)*SIN($B$134)/SIN($B$135)/$B$93)+COS($D$102)*SIN(ABS(I234)*SIN($B$134)/SIN($B$135)/$B$93)*COS($C$117)))</f>
        <v>0.80073125528113087</v>
      </c>
      <c r="E234" s="70">
        <f>IF(I234&gt;=0,$E$101+ATAN2(COS(C234)-SIN($D$101)*SIN(D234),SIN($C$113)*SIN(C234)*COS($D$101)),$E$102+ATAN2(COS(ABS(I234)*SIN($B$134)/SIN($B$135)/$B$93)-SIN($D$102)*SIN(D234),SIN($C$117)*SIN(ABS(I234)*SIN($B$134)/SIN($B$135)/$B$93)*COS($D$102)))</f>
        <v>0.18765155411993575</v>
      </c>
      <c r="F234" s="14">
        <f t="shared" si="112"/>
        <v>45.878521451821314</v>
      </c>
      <c r="G234" s="14">
        <f t="shared" si="113"/>
        <v>10.751642070143074</v>
      </c>
      <c r="H234" s="39">
        <f t="shared" si="109"/>
        <v>790.29172851621638</v>
      </c>
      <c r="I234" s="39">
        <f>$E$113-H234</f>
        <v>-694.29243565835498</v>
      </c>
      <c r="K234" s="14" t="str">
        <f>IF(ROTTE!C123&lt;&gt;"",LN(TAN(D234/2+PI()/4)/TAN($D$140/2+PI()/4)),"")</f>
        <v/>
      </c>
      <c r="L234" s="14" t="str">
        <f>IF(ROTTE!D123&lt;&gt;"",E234-$E$140,"")</f>
        <v/>
      </c>
      <c r="M234" s="14" t="str">
        <f t="shared" si="106"/>
        <v/>
      </c>
      <c r="N234" s="70" t="str">
        <f t="shared" si="114"/>
        <v/>
      </c>
      <c r="O234" s="39" t="str">
        <f t="shared" si="115"/>
        <v/>
      </c>
      <c r="P234" s="20" t="str">
        <f>IF(B234&lt;ROTTE!$B$1,B234,"")</f>
        <v/>
      </c>
      <c r="Q234" s="39" t="e">
        <f t="shared" si="116"/>
        <v>#N/A</v>
      </c>
      <c r="R234" s="39" t="e">
        <f t="shared" si="117"/>
        <v>#N/A</v>
      </c>
      <c r="T234" s="39">
        <f t="shared" si="105"/>
        <v>0</v>
      </c>
    </row>
    <row r="235" spans="1:20">
      <c r="A235" s="20">
        <f>A233+1</f>
        <v>48</v>
      </c>
      <c r="B235" s="20">
        <v>96</v>
      </c>
      <c r="C235" s="80">
        <f>$B$129*(A235-1)/$B$93</f>
        <v>1.2670604650368472E-4</v>
      </c>
      <c r="D235" s="70">
        <f>IF(I235&gt;=0,ASIN(SIN($D$101)*COS(C235)+COS($D$101)*SIN(C235)*COS($C$113)),ASIN(SIN($D$102)*COS(ABS(I235)*SIN($B$134)/SIN($B$135)/$B$93)+COS($D$102)*SIN(ABS(I235)*SIN($B$134)/SIN($B$135)/$B$93)*COS($C$117)))</f>
        <v>0.80073804757987455</v>
      </c>
      <c r="E235" s="70">
        <f>IF(I235&gt;=0,$E$101+ATAN2(COS(C235)-SIN($D$101)*SIN(D235),SIN($C$113)*SIN(C235)*COS($D$101)),$E$102+ATAN2(COS(ABS(I235)*SIN($B$134)/SIN($B$135)/$B$93)-SIN($D$102)*SIN(D235),SIN($C$117)*SIN(ABS(I235)*SIN($B$134)/SIN($B$135)/$B$93)*COS($D$102)))</f>
        <v>0.18764189400453354</v>
      </c>
      <c r="F235" s="14">
        <f t="shared" si="112"/>
        <v>45.878910621872514</v>
      </c>
      <c r="G235" s="14">
        <f t="shared" si="113"/>
        <v>10.751088586300916</v>
      </c>
      <c r="H235" s="39">
        <f t="shared" si="109"/>
        <v>807.47198348396012</v>
      </c>
      <c r="I235" s="39">
        <f>$E$113-H235</f>
        <v>-711.47269062609871</v>
      </c>
      <c r="K235" s="14" t="str">
        <f>IF(ROTTE!C124&lt;&gt;"",LN(TAN(D235/2+PI()/4)/TAN($D$140/2+PI()/4)),"")</f>
        <v/>
      </c>
      <c r="L235" s="14" t="str">
        <f>IF(ROTTE!D124&lt;&gt;"",E235-$E$140,"")</f>
        <v/>
      </c>
      <c r="M235" s="14" t="str">
        <f t="shared" si="106"/>
        <v/>
      </c>
      <c r="N235" s="70" t="str">
        <f t="shared" si="114"/>
        <v/>
      </c>
      <c r="O235" s="39" t="str">
        <f t="shared" si="115"/>
        <v/>
      </c>
      <c r="P235" s="20" t="str">
        <f>IF(B235&lt;ROTTE!$B$1,B235,"")</f>
        <v/>
      </c>
      <c r="Q235" s="39" t="e">
        <f t="shared" si="116"/>
        <v>#N/A</v>
      </c>
      <c r="R235" s="39" t="e">
        <f t="shared" si="117"/>
        <v>#N/A</v>
      </c>
      <c r="T235" s="39">
        <f t="shared" si="105"/>
        <v>0</v>
      </c>
    </row>
    <row r="236" spans="1:20">
      <c r="A236" s="20">
        <f>A235</f>
        <v>48</v>
      </c>
      <c r="B236" s="20">
        <v>97</v>
      </c>
      <c r="C236" s="80">
        <f>$B$131*(A236-1)/$B$93</f>
        <v>1.255260276919427E-4</v>
      </c>
      <c r="D236" s="70">
        <f>IF(I236&gt;=0,ASIN(SIN($D$100)*COS(C236)+COS($D$100)*SIN(C236)*COS($C$121)),ASIN(SIN($D$103)*COS(ABS(I236)*SIN($B$132)/SIN($B$133)/$B$93)+COS($D$103)*SIN(ABS(I236)*SIN($B$132)/SIN($B$133)/$B$93)*COS($C$125)))</f>
        <v>0.80073806267848713</v>
      </c>
      <c r="E236" s="70">
        <f>IF(I236&gt;=0,$E$100+ATAN2(COS(C236)-SIN($D$100)*SIN(D236),SIN($C$121)*SIN(C236)*COS($D$100)),$E$103+ATAN2(COS(ABS(I236)*SIN($B$132)/SIN($B$133)/$B$93)-SIN($D$103)*SIN(D236),SIN($C$125)*SIN(ABS(I236)*SIN($B$132)/SIN($B$133)/$B$93)*COS($D$103)))</f>
        <v>0.18764190966836566</v>
      </c>
      <c r="F236" s="14">
        <f t="shared" si="112"/>
        <v>45.878911486959296</v>
      </c>
      <c r="G236" s="14">
        <f t="shared" si="113"/>
        <v>10.75108948377239</v>
      </c>
      <c r="H236" s="39">
        <f t="shared" si="109"/>
        <v>799.95196248450452</v>
      </c>
      <c r="I236" s="39">
        <f>$E$121-H236</f>
        <v>-579.74256870035947</v>
      </c>
      <c r="K236" s="14" t="str">
        <f>IF(ROTTE!C125&lt;&gt;"",LN(TAN(D236/2+PI()/4)/TAN($D$140/2+PI()/4)),"")</f>
        <v/>
      </c>
      <c r="L236" s="14" t="str">
        <f>IF(ROTTE!D125&lt;&gt;"",E236-$E$140,"")</f>
        <v/>
      </c>
      <c r="M236" s="14" t="str">
        <f t="shared" si="106"/>
        <v/>
      </c>
      <c r="N236" s="70" t="str">
        <f t="shared" si="114"/>
        <v/>
      </c>
      <c r="O236" s="39" t="str">
        <f t="shared" si="115"/>
        <v/>
      </c>
      <c r="P236" s="20" t="str">
        <f>IF(B236&lt;ROTTE!$B$1,B236,"")</f>
        <v/>
      </c>
      <c r="Q236" s="39" t="e">
        <f t="shared" si="116"/>
        <v>#N/A</v>
      </c>
      <c r="R236" s="39" t="e">
        <f t="shared" si="117"/>
        <v>#N/A</v>
      </c>
      <c r="T236" s="39">
        <f t="shared" si="105"/>
        <v>0</v>
      </c>
    </row>
    <row r="237" spans="1:20">
      <c r="A237" s="20">
        <f>A235+1</f>
        <v>49</v>
      </c>
      <c r="B237" s="20">
        <v>98</v>
      </c>
      <c r="C237" s="80">
        <f>$B$131*(A237-1)/$B$93</f>
        <v>1.2819679423857976E-4</v>
      </c>
      <c r="D237" s="70">
        <f>IF(I237&gt;=0,ASIN(SIN($D$100)*COS(C237)+COS($D$100)*SIN(C237)*COS($C$121)),ASIN(SIN($D$103)*COS(ABS(I237)*SIN($B$132)/SIN($B$133)/$B$93)+COS($D$103)*SIN(ABS(I237)*SIN($B$132)/SIN($B$133)/$B$93)*COS($C$125)))</f>
        <v>0.80074485527320305</v>
      </c>
      <c r="E237" s="70">
        <f>IF(I237&gt;=0,$E$100+ATAN2(COS(C237)-SIN($D$100)*SIN(D237),SIN($C$121)*SIN(C237)*COS($D$100)),$E$103+ATAN2(COS(ABS(I237)*SIN($B$132)/SIN($B$133)/$B$93)-SIN($D$103)*SIN(D237),SIN($C$125)*SIN(ABS(I237)*SIN($B$132)/SIN($B$133)/$B$93)*COS($D$103)))</f>
        <v>0.18763224991455546</v>
      </c>
      <c r="F237" s="14">
        <f t="shared" si="112"/>
        <v>45.879300673968459</v>
      </c>
      <c r="G237" s="14">
        <f t="shared" si="113"/>
        <v>10.75053602064793</v>
      </c>
      <c r="H237" s="39">
        <f t="shared" si="109"/>
        <v>816.97221700545128</v>
      </c>
      <c r="I237" s="39">
        <f>$E$121-H237</f>
        <v>-596.76282322130623</v>
      </c>
      <c r="K237" s="14" t="str">
        <f>IF(ROTTE!C126&lt;&gt;"",LN(TAN(D237/2+PI()/4)/TAN($D$140/2+PI()/4)),"")</f>
        <v/>
      </c>
      <c r="L237" s="14" t="str">
        <f>IF(ROTTE!D126&lt;&gt;"",E237-$E$140,"")</f>
        <v/>
      </c>
      <c r="M237" s="14" t="str">
        <f t="shared" si="106"/>
        <v/>
      </c>
      <c r="N237" s="70" t="str">
        <f t="shared" si="114"/>
        <v/>
      </c>
      <c r="O237" s="39" t="str">
        <f t="shared" si="115"/>
        <v/>
      </c>
      <c r="P237" s="20" t="str">
        <f>IF(B237&lt;ROTTE!$B$1,B237,"")</f>
        <v/>
      </c>
      <c r="Q237" s="39" t="e">
        <f t="shared" si="116"/>
        <v>#N/A</v>
      </c>
      <c r="R237" s="39" t="e">
        <f t="shared" si="117"/>
        <v>#N/A</v>
      </c>
      <c r="T237" s="39">
        <f t="shared" si="105"/>
        <v>0</v>
      </c>
    </row>
    <row r="238" spans="1:20">
      <c r="A238" s="20">
        <f>A237</f>
        <v>49</v>
      </c>
      <c r="B238" s="20">
        <v>99</v>
      </c>
      <c r="C238" s="80">
        <f>$B$129*(A238-1)/$B$93</f>
        <v>1.2940191983355033E-4</v>
      </c>
      <c r="D238" s="70">
        <f>IF(I238&gt;=0,ASIN(SIN($D$101)*COS(C238)+COS($D$101)*SIN(C238)*COS($C$113)),ASIN(SIN($D$102)*COS(ABS(I238)*SIN($B$134)/SIN($B$135)/$B$93)+COS($D$102)*SIN(ABS(I238)*SIN($B$134)/SIN($B$135)/$B$93)*COS($C$117)))</f>
        <v>0.80074483983198075</v>
      </c>
      <c r="E238" s="70">
        <f>IF(I238&gt;=0,$E$101+ATAN2(COS(C238)-SIN($D$101)*SIN(D238),SIN($C$113)*SIN(C238)*COS($D$101)),$E$102+ATAN2(COS(ABS(I238)*SIN($B$134)/SIN($B$135)/$B$93)-SIN($D$102)*SIN(D238),SIN($C$117)*SIN(ABS(I238)*SIN($B$134)/SIN($B$135)/$B$93)*COS($D$102)))</f>
        <v>0.18763223375381297</v>
      </c>
      <c r="F238" s="14">
        <f t="shared" si="112"/>
        <v>45.87929978925159</v>
      </c>
      <c r="G238" s="14">
        <f t="shared" si="113"/>
        <v>10.75053509470559</v>
      </c>
      <c r="H238" s="39">
        <f t="shared" si="109"/>
        <v>824.65223845170385</v>
      </c>
      <c r="I238" s="39">
        <f>$E$113-H238</f>
        <v>-728.65294559384245</v>
      </c>
      <c r="K238" s="14" t="str">
        <f>IF(ROTTE!C127&lt;&gt;"",LN(TAN(D238/2+PI()/4)/TAN($D$140/2+PI()/4)),"")</f>
        <v/>
      </c>
      <c r="L238" s="14" t="str">
        <f>IF(ROTTE!D127&lt;&gt;"",E238-$E$140,"")</f>
        <v/>
      </c>
      <c r="M238" s="14" t="str">
        <f t="shared" si="106"/>
        <v/>
      </c>
      <c r="N238" s="70" t="str">
        <f t="shared" si="114"/>
        <v/>
      </c>
      <c r="O238" s="39" t="str">
        <f t="shared" si="115"/>
        <v/>
      </c>
      <c r="P238" s="20" t="str">
        <f>IF(B238&lt;ROTTE!$B$1,B238,"")</f>
        <v/>
      </c>
      <c r="Q238" s="39" t="e">
        <f t="shared" si="116"/>
        <v>#N/A</v>
      </c>
      <c r="R238" s="39" t="e">
        <f t="shared" si="117"/>
        <v>#N/A</v>
      </c>
      <c r="T238" s="39">
        <f t="shared" si="105"/>
        <v>0</v>
      </c>
    </row>
    <row r="240" spans="1:20">
      <c r="K240" s="105" t="s">
        <v>157</v>
      </c>
      <c r="L240" s="105"/>
      <c r="M240" s="105"/>
      <c r="N240" s="105"/>
      <c r="O240" s="105"/>
      <c r="P240" s="105"/>
      <c r="Q240" s="105"/>
      <c r="R240" s="105"/>
    </row>
    <row r="241" spans="3:19">
      <c r="C241" s="20" t="s">
        <v>99</v>
      </c>
      <c r="D241" s="21" t="s">
        <v>130</v>
      </c>
      <c r="E241" s="21" t="s">
        <v>131</v>
      </c>
      <c r="K241" s="78" t="s">
        <v>154</v>
      </c>
      <c r="L241" s="78" t="s">
        <v>155</v>
      </c>
      <c r="M241" s="78" t="s">
        <v>150</v>
      </c>
      <c r="N241" s="78" t="s">
        <v>150</v>
      </c>
      <c r="O241" s="20" t="s">
        <v>153</v>
      </c>
      <c r="P241" s="20" t="s">
        <v>99</v>
      </c>
      <c r="Q241" s="20" t="s">
        <v>151</v>
      </c>
      <c r="R241" s="20" t="s">
        <v>152</v>
      </c>
    </row>
    <row r="242" spans="3:19">
      <c r="C242" s="22"/>
      <c r="D242" s="68" t="s">
        <v>56</v>
      </c>
      <c r="E242" s="68" t="s">
        <v>56</v>
      </c>
      <c r="K242" s="20" t="s">
        <v>56</v>
      </c>
      <c r="L242" s="20" t="s">
        <v>56</v>
      </c>
      <c r="M242" s="20" t="s">
        <v>56</v>
      </c>
      <c r="N242" s="20" t="s">
        <v>57</v>
      </c>
      <c r="O242" s="20" t="s">
        <v>47</v>
      </c>
      <c r="P242" s="22"/>
      <c r="Q242" s="20" t="s">
        <v>47</v>
      </c>
      <c r="R242" s="20" t="s">
        <v>47</v>
      </c>
    </row>
    <row r="243" spans="3:19">
      <c r="C243" s="20">
        <v>2</v>
      </c>
      <c r="D243" s="70">
        <f t="shared" ref="D243:E246" si="118">F74</f>
        <v>0.80047732721267895</v>
      </c>
      <c r="E243" s="70">
        <f t="shared" si="118"/>
        <v>0.18794464316447682</v>
      </c>
      <c r="K243" s="14">
        <f t="shared" ref="K243:K245" si="119">LN(TAN(D243/2+PI()/4)/TAN($D$140/2+PI()/4))</f>
        <v>2.453021035135268E-5</v>
      </c>
      <c r="L243" s="14">
        <f t="shared" ref="L243:L246" si="120">E243-$E$140</f>
        <v>5.9921124525297298E-6</v>
      </c>
      <c r="M243" s="14">
        <f t="shared" ref="M243:M247" si="121">IF(L243=0,PI()/2,ATAN2(L243,K243))</f>
        <v>1.3312132947487632</v>
      </c>
      <c r="N243" s="70">
        <f t="shared" ref="N243:N246" si="122">M243*180/PI()</f>
        <v>76.272903420809001</v>
      </c>
      <c r="O243" s="39">
        <f t="shared" ref="O243:O246" si="123">$B$93*ACOS(SIN($D$140)*SIN(D243)+COS($D$140)*COS(D243)*COS($E$140-E243))</f>
        <v>112.06165637910441</v>
      </c>
      <c r="P243" s="20">
        <v>2</v>
      </c>
      <c r="Q243" s="39">
        <f t="shared" ref="Q243:Q246" si="124">O243*COS(M243)</f>
        <v>26.59196087443507</v>
      </c>
      <c r="R243" s="39">
        <f t="shared" ref="R243:R246" si="125">O243*SIN(M243)</f>
        <v>108.8608398244336</v>
      </c>
      <c r="S243" s="39"/>
    </row>
    <row r="244" spans="3:19">
      <c r="C244" s="20">
        <v>3</v>
      </c>
      <c r="D244" s="70">
        <f t="shared" si="118"/>
        <v>0.80044264108470775</v>
      </c>
      <c r="E244" s="70">
        <f t="shared" si="118"/>
        <v>0.18803415034423915</v>
      </c>
      <c r="K244" s="14">
        <f t="shared" si="119"/>
        <v>-2.5279224410800523E-5</v>
      </c>
      <c r="L244" s="14">
        <f t="shared" si="120"/>
        <v>9.5499292214862308E-5</v>
      </c>
      <c r="M244" s="14">
        <f t="shared" si="121"/>
        <v>-0.25877089197332698</v>
      </c>
      <c r="N244" s="70">
        <f t="shared" si="122"/>
        <v>-14.826479970907386</v>
      </c>
      <c r="O244" s="39">
        <f t="shared" si="123"/>
        <v>438.41382848688602</v>
      </c>
      <c r="P244" s="20">
        <v>3</v>
      </c>
      <c r="Q244" s="39">
        <f t="shared" si="124"/>
        <v>423.81693996397269</v>
      </c>
      <c r="R244" s="39">
        <f t="shared" si="125"/>
        <v>-112.1868370536539</v>
      </c>
      <c r="S244" s="39"/>
    </row>
    <row r="245" spans="3:19">
      <c r="C245" s="20">
        <v>4</v>
      </c>
      <c r="D245" s="70">
        <f t="shared" si="118"/>
        <v>0.80045672432377446</v>
      </c>
      <c r="E245" s="70">
        <f t="shared" si="118"/>
        <v>0.18804182773831843</v>
      </c>
      <c r="K245" s="14">
        <f t="shared" si="119"/>
        <v>-5.0558448837358728E-6</v>
      </c>
      <c r="L245" s="14">
        <f t="shared" si="120"/>
        <v>1.0317668629414301E-4</v>
      </c>
      <c r="M245" s="14">
        <f t="shared" si="121"/>
        <v>-4.8962650617274013E-2</v>
      </c>
      <c r="N245" s="70">
        <f t="shared" si="122"/>
        <v>-2.805353234143416</v>
      </c>
      <c r="O245" s="39">
        <f t="shared" si="123"/>
        <v>458.4345708470758</v>
      </c>
      <c r="P245" s="20">
        <v>4</v>
      </c>
      <c r="Q245" s="39">
        <f t="shared" si="124"/>
        <v>457.88516858706345</v>
      </c>
      <c r="R245" s="39">
        <f t="shared" si="125"/>
        <v>-22.437204276358475</v>
      </c>
      <c r="S245" s="39"/>
    </row>
    <row r="246" spans="3:19">
      <c r="C246" s="20">
        <v>5</v>
      </c>
      <c r="D246" s="70">
        <f t="shared" si="118"/>
        <v>0.80050666601460085</v>
      </c>
      <c r="E246" s="70">
        <f t="shared" si="118"/>
        <v>0.18797085865645838</v>
      </c>
      <c r="K246" s="14">
        <f>LN(TAN(D246/2+PI()/4)/TAN($D$140/2+PI()/4))</f>
        <v>6.6662251035725891E-5</v>
      </c>
      <c r="L246" s="14">
        <f t="shared" si="120"/>
        <v>3.2207604434092429E-5</v>
      </c>
      <c r="M246" s="14">
        <f>IF(L246=0,PI()/2,ATAN2(L246,K246))</f>
        <v>1.1207225446990661</v>
      </c>
      <c r="N246" s="70">
        <f t="shared" si="122"/>
        <v>64.212671816418236</v>
      </c>
      <c r="O246" s="39">
        <f t="shared" si="123"/>
        <v>328.54970666602082</v>
      </c>
      <c r="P246" s="20">
        <v>5</v>
      </c>
      <c r="Q246" s="39">
        <f t="shared" si="124"/>
        <v>142.92962606866806</v>
      </c>
      <c r="R246" s="39">
        <f t="shared" si="125"/>
        <v>295.83108650410469</v>
      </c>
      <c r="S246" s="39"/>
    </row>
    <row r="247" spans="3:19">
      <c r="C247" s="20">
        <v>2</v>
      </c>
      <c r="D247" s="70">
        <f>D243</f>
        <v>0.80047732721267895</v>
      </c>
      <c r="E247" s="70">
        <f>E243</f>
        <v>0.18794464316447682</v>
      </c>
      <c r="K247" s="14">
        <f>K243</f>
        <v>2.453021035135268E-5</v>
      </c>
      <c r="L247" s="14">
        <f t="shared" ref="L247:O247" si="126">L243</f>
        <v>5.9921124525297298E-6</v>
      </c>
      <c r="M247" s="14">
        <f t="shared" si="121"/>
        <v>1.3312132947487632</v>
      </c>
      <c r="N247" s="14">
        <f t="shared" si="126"/>
        <v>76.272903420809001</v>
      </c>
      <c r="O247" s="14">
        <f t="shared" si="126"/>
        <v>112.06165637910441</v>
      </c>
      <c r="P247" s="20">
        <v>2</v>
      </c>
      <c r="Q247" s="39">
        <f>Q243</f>
        <v>26.59196087443507</v>
      </c>
      <c r="R247" s="39">
        <f>R243</f>
        <v>108.8608398244336</v>
      </c>
      <c r="S247" s="39"/>
    </row>
    <row r="250" spans="3:19">
      <c r="N250" s="20" t="s">
        <v>226</v>
      </c>
      <c r="O250" s="15">
        <f>ABS(0.5*(Q243*R244+Q244*R245+Q245*R246+Q246*R247+Q247*R243-Q244*R243-Q245*R244-Q246*R245-Q247*R246-Q243*R247))</f>
        <v>69547.702064146477</v>
      </c>
      <c r="P250" s="20" t="s">
        <v>224</v>
      </c>
      <c r="R250" s="81"/>
      <c r="S250" s="81"/>
    </row>
    <row r="254" spans="3:19">
      <c r="E254" s="20"/>
    </row>
    <row r="255" spans="3:19">
      <c r="D255" s="20"/>
      <c r="E255" s="20"/>
      <c r="G255" s="59"/>
      <c r="H255" s="59"/>
    </row>
  </sheetData>
  <sheetProtection algorithmName="SHA-512" hashValue="QFEsEPiPDHFiefbnU5g5lXoGSHt2eNwakZENpu0/HAC3KQV7670h2OQdwIVh1xLXRyCaQANjhVguovOlGQnfHw==" saltValue="F+HQ/r+/AuhraSwd8fYXiA==" spinCount="100000" sheet="1" objects="1" scenarios="1"/>
  <mergeCells count="19">
    <mergeCell ref="K240:R240"/>
    <mergeCell ref="A89:D89"/>
    <mergeCell ref="C70:G70"/>
    <mergeCell ref="C69:G69"/>
    <mergeCell ref="H69:L69"/>
    <mergeCell ref="H70:L70"/>
    <mergeCell ref="M69:R69"/>
    <mergeCell ref="M70:R70"/>
    <mergeCell ref="C78:G78"/>
    <mergeCell ref="C79:G79"/>
    <mergeCell ref="H78:L78"/>
    <mergeCell ref="H79:L79"/>
    <mergeCell ref="M78:R78"/>
    <mergeCell ref="M79:R79"/>
    <mergeCell ref="S78:W78"/>
    <mergeCell ref="S79:W79"/>
    <mergeCell ref="S69:W69"/>
    <mergeCell ref="S70:W70"/>
    <mergeCell ref="K137:R137"/>
  </mergeCells>
  <printOptions horizontalCentered="1" verticalCentered="1"/>
  <pageMargins left="0.19685039370078741" right="0.11811023622047245" top="0.15748031496062992" bottom="0.74803149606299213" header="0" footer="0"/>
  <pageSetup paperSize="9" scale="15" orientation="landscape"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pageSetUpPr fitToPage="1"/>
  </sheetPr>
  <dimension ref="A1:AD180"/>
  <sheetViews>
    <sheetView workbookViewId="0">
      <selection activeCell="A6" sqref="A6"/>
    </sheetView>
  </sheetViews>
  <sheetFormatPr defaultColWidth="9.140625" defaultRowHeight="15"/>
  <cols>
    <col min="1" max="1" width="43.140625" style="20" bestFit="1" customWidth="1"/>
    <col min="2" max="2" width="19.140625" style="20" bestFit="1" customWidth="1"/>
    <col min="3" max="3" width="36.5703125" style="20" bestFit="1" customWidth="1"/>
    <col min="4" max="4" width="23.7109375" style="21" bestFit="1" customWidth="1"/>
    <col min="5" max="5" width="17.140625" style="21" customWidth="1"/>
    <col min="6" max="7" width="21.5703125" style="20" bestFit="1" customWidth="1"/>
    <col min="8" max="8" width="16.140625" style="20" customWidth="1"/>
    <col min="9" max="10" width="18.85546875" style="20" bestFit="1" customWidth="1"/>
    <col min="11" max="12" width="10.28515625" style="20" bestFit="1" customWidth="1"/>
    <col min="13" max="13" width="15.140625" style="20" bestFit="1" customWidth="1"/>
    <col min="14" max="15" width="18.85546875" style="20" bestFit="1" customWidth="1"/>
    <col min="16" max="16" width="18.85546875" style="20" customWidth="1"/>
    <col min="17" max="18" width="8.5703125" style="20" bestFit="1" customWidth="1"/>
    <col min="19" max="19" width="15.140625" style="20" bestFit="1" customWidth="1"/>
    <col min="20" max="20" width="18.85546875" style="20" bestFit="1" customWidth="1"/>
    <col min="21" max="21" width="18.85546875" style="22" bestFit="1" customWidth="1"/>
    <col min="22" max="24" width="8.5703125" style="20" bestFit="1" customWidth="1"/>
    <col min="25" max="16384" width="9.140625" style="20"/>
  </cols>
  <sheetData>
    <row r="1" spans="1:23">
      <c r="A1" s="20" t="s">
        <v>158</v>
      </c>
      <c r="B1" s="1">
        <f>'CALCOLO ROTTA 1'!B64</f>
        <v>1</v>
      </c>
      <c r="T1" s="22"/>
      <c r="U1" s="20"/>
    </row>
    <row r="2" spans="1:23">
      <c r="A2" s="20" t="s">
        <v>164</v>
      </c>
      <c r="B2" s="1">
        <f>ROTTE!B3</f>
        <v>4</v>
      </c>
      <c r="T2" s="22"/>
      <c r="U2" s="20"/>
    </row>
    <row r="3" spans="1:23">
      <c r="A3" s="20" t="s">
        <v>174</v>
      </c>
      <c r="B3" s="1">
        <f>'CALCOLO ROTTA 1'!B66</f>
        <v>2</v>
      </c>
      <c r="T3" s="22"/>
      <c r="U3" s="20"/>
    </row>
    <row r="4" spans="1:23">
      <c r="A4" s="20" t="s">
        <v>175</v>
      </c>
      <c r="B4" s="1">
        <f>'CALCOLO ROTTA 1'!B67</f>
        <v>1</v>
      </c>
      <c r="T4" s="22"/>
      <c r="U4" s="20"/>
    </row>
    <row r="5" spans="1:23">
      <c r="T5" s="22"/>
      <c r="U5" s="20"/>
    </row>
    <row r="6" spans="1:23">
      <c r="C6" s="101">
        <v>1</v>
      </c>
      <c r="D6" s="102"/>
      <c r="E6" s="102"/>
      <c r="F6" s="102"/>
      <c r="G6" s="103"/>
      <c r="H6" s="107">
        <v>2</v>
      </c>
      <c r="I6" s="108"/>
      <c r="J6" s="108"/>
      <c r="K6" s="108"/>
      <c r="L6" s="109"/>
      <c r="M6" s="107">
        <v>3</v>
      </c>
      <c r="N6" s="108"/>
      <c r="O6" s="108"/>
      <c r="P6" s="108"/>
      <c r="Q6" s="108"/>
      <c r="R6" s="109"/>
      <c r="S6" s="107">
        <v>4</v>
      </c>
      <c r="T6" s="108"/>
      <c r="U6" s="108"/>
      <c r="V6" s="108"/>
      <c r="W6" s="109"/>
    </row>
    <row r="7" spans="1:23">
      <c r="C7" s="104" t="s">
        <v>166</v>
      </c>
      <c r="D7" s="105"/>
      <c r="E7" s="105"/>
      <c r="F7" s="105"/>
      <c r="G7" s="106"/>
      <c r="H7" s="104" t="s">
        <v>167</v>
      </c>
      <c r="I7" s="105"/>
      <c r="J7" s="105"/>
      <c r="K7" s="105"/>
      <c r="L7" s="106"/>
      <c r="M7" s="104" t="s">
        <v>168</v>
      </c>
      <c r="N7" s="105"/>
      <c r="O7" s="105"/>
      <c r="P7" s="105"/>
      <c r="Q7" s="105"/>
      <c r="R7" s="106"/>
      <c r="S7" s="104" t="s">
        <v>169</v>
      </c>
      <c r="T7" s="105"/>
      <c r="U7" s="105"/>
      <c r="V7" s="105"/>
      <c r="W7" s="106"/>
    </row>
    <row r="8" spans="1:23">
      <c r="A8" s="20" t="s">
        <v>143</v>
      </c>
      <c r="B8" s="20" t="s">
        <v>142</v>
      </c>
      <c r="C8" s="66" t="s">
        <v>99</v>
      </c>
      <c r="D8" s="20" t="s">
        <v>100</v>
      </c>
      <c r="E8" s="20" t="s">
        <v>101</v>
      </c>
      <c r="F8" s="21" t="s">
        <v>130</v>
      </c>
      <c r="G8" s="67" t="s">
        <v>131</v>
      </c>
      <c r="H8" s="66" t="s">
        <v>159</v>
      </c>
      <c r="I8" s="20" t="s">
        <v>100</v>
      </c>
      <c r="J8" s="20" t="s">
        <v>101</v>
      </c>
      <c r="K8" s="21" t="s">
        <v>130</v>
      </c>
      <c r="L8" s="67" t="s">
        <v>131</v>
      </c>
      <c r="M8" s="66" t="s">
        <v>159</v>
      </c>
      <c r="N8" s="20" t="s">
        <v>100</v>
      </c>
      <c r="O8" s="20" t="s">
        <v>101</v>
      </c>
      <c r="Q8" s="21" t="s">
        <v>130</v>
      </c>
      <c r="R8" s="67" t="s">
        <v>131</v>
      </c>
      <c r="S8" s="66" t="s">
        <v>159</v>
      </c>
      <c r="T8" s="20" t="s">
        <v>100</v>
      </c>
      <c r="U8" s="20" t="s">
        <v>101</v>
      </c>
      <c r="V8" s="21" t="s">
        <v>130</v>
      </c>
      <c r="W8" s="67" t="s">
        <v>131</v>
      </c>
    </row>
    <row r="9" spans="1:23">
      <c r="C9" s="66"/>
      <c r="D9" s="59" t="s">
        <v>57</v>
      </c>
      <c r="E9" s="59" t="s">
        <v>57</v>
      </c>
      <c r="F9" s="68" t="s">
        <v>56</v>
      </c>
      <c r="G9" s="69" t="s">
        <v>56</v>
      </c>
      <c r="H9" s="66"/>
      <c r="I9" s="59" t="s">
        <v>57</v>
      </c>
      <c r="J9" s="59" t="s">
        <v>57</v>
      </c>
      <c r="K9" s="68" t="s">
        <v>56</v>
      </c>
      <c r="L9" s="69" t="s">
        <v>56</v>
      </c>
      <c r="M9" s="66"/>
      <c r="N9" s="59" t="s">
        <v>57</v>
      </c>
      <c r="O9" s="59" t="s">
        <v>57</v>
      </c>
      <c r="P9" s="59"/>
      <c r="Q9" s="68" t="s">
        <v>56</v>
      </c>
      <c r="R9" s="69" t="s">
        <v>56</v>
      </c>
      <c r="S9" s="66"/>
      <c r="T9" s="59" t="s">
        <v>57</v>
      </c>
      <c r="U9" s="59" t="s">
        <v>57</v>
      </c>
      <c r="V9" s="68" t="s">
        <v>56</v>
      </c>
      <c r="W9" s="69" t="s">
        <v>56</v>
      </c>
    </row>
    <row r="10" spans="1:23">
      <c r="A10" s="20">
        <f>FIND(",",'AREA DI RILIEVO'!B29)</f>
        <v>17</v>
      </c>
      <c r="B10" s="20">
        <f>FIND(",",'AREA DI RILIEVO'!B29,A10+1)</f>
        <v>36</v>
      </c>
      <c r="C10" s="66">
        <v>1</v>
      </c>
      <c r="D10" s="14" t="str">
        <f>IF($B$1=1,MID('AREA DI RILIEVO'!B29,1,A10-1),'AREA DI RILIEVO'!B40)</f>
        <v>45.8629937123294</v>
      </c>
      <c r="E10" s="14" t="str">
        <f>IF($B$1=1,MID('AREA DI RILIEVO'!B29,A10+1,B10-1-A10),'AREA DI RILIEVO'!C40)</f>
        <v>10.768091512662966</v>
      </c>
      <c r="F10" s="70">
        <f t="shared" ref="F10:G14" si="0">D10*PI()/180</f>
        <v>0.80046024510160507</v>
      </c>
      <c r="G10" s="71">
        <f t="shared" si="0"/>
        <v>0.18793865105202429</v>
      </c>
      <c r="H10" s="66">
        <v>1</v>
      </c>
      <c r="I10" s="14" t="str">
        <f>$D$10</f>
        <v>45.8629937123294</v>
      </c>
      <c r="J10" s="14" t="str">
        <f>$E$10</f>
        <v>10.768091512662966</v>
      </c>
      <c r="K10" s="70">
        <f t="shared" ref="K10:L14" si="1">I10*PI()/180</f>
        <v>0.80046024510160507</v>
      </c>
      <c r="L10" s="71">
        <f t="shared" si="1"/>
        <v>0.18793865105202429</v>
      </c>
      <c r="M10" s="66">
        <v>1</v>
      </c>
      <c r="N10" s="14" t="str">
        <f>$D$10</f>
        <v>45.8629937123294</v>
      </c>
      <c r="O10" s="14" t="str">
        <f>$E$10</f>
        <v>10.768091512662966</v>
      </c>
      <c r="P10" s="14"/>
      <c r="Q10" s="70">
        <f t="shared" ref="Q10:R14" si="2">N10*PI()/180</f>
        <v>0.80046024510160507</v>
      </c>
      <c r="R10" s="71">
        <f t="shared" si="2"/>
        <v>0.18793865105202429</v>
      </c>
      <c r="S10" s="66">
        <v>1</v>
      </c>
      <c r="T10" s="14" t="str">
        <f>$D$10</f>
        <v>45.8629937123294</v>
      </c>
      <c r="U10" s="14" t="str">
        <f>$E$10</f>
        <v>10.768091512662966</v>
      </c>
      <c r="V10" s="70">
        <f t="shared" ref="V10:W14" si="3">T10*PI()/180</f>
        <v>0.80046024510160507</v>
      </c>
      <c r="W10" s="71">
        <f t="shared" si="3"/>
        <v>0.18793865105202429</v>
      </c>
    </row>
    <row r="11" spans="1:23">
      <c r="A11" s="20">
        <f>FIND(",",'AREA DI RILIEVO'!B30)</f>
        <v>18</v>
      </c>
      <c r="B11" s="20">
        <f>FIND(",",'AREA DI RILIEVO'!B30,A11+1)</f>
        <v>37</v>
      </c>
      <c r="C11" s="66">
        <v>2</v>
      </c>
      <c r="D11" s="14" t="str">
        <f>IF($B$1=1,MID('AREA DI RILIEVO'!B30,1,A11-1),'AREA DI RILIEVO'!B41)</f>
        <v>45.86397244519919</v>
      </c>
      <c r="E11" s="14" t="str">
        <f>IF($B$1=1,MID('AREA DI RILIEVO'!B30,A11+1,B11-1-A11),'AREA DI RILIEVO'!C41)</f>
        <v>10.768434835416873</v>
      </c>
      <c r="F11" s="70">
        <f t="shared" si="0"/>
        <v>0.80047732721267895</v>
      </c>
      <c r="G11" s="71">
        <f t="shared" si="0"/>
        <v>0.18794464316447682</v>
      </c>
      <c r="H11" s="66">
        <v>2</v>
      </c>
      <c r="I11" s="14" t="str">
        <f>$D$12</f>
        <v>45.86198507645879</v>
      </c>
      <c r="J11" s="14" t="str">
        <f>$E$12</f>
        <v>10.773563219053347</v>
      </c>
      <c r="K11" s="70">
        <f t="shared" si="1"/>
        <v>0.80044264108470775</v>
      </c>
      <c r="L11" s="71">
        <f t="shared" si="1"/>
        <v>0.18803415034423915</v>
      </c>
      <c r="M11" s="66">
        <v>2</v>
      </c>
      <c r="N11" s="14" t="str">
        <f>$D$13</f>
        <v>45.86279198661917</v>
      </c>
      <c r="O11" s="14" t="str">
        <f>$E$13</f>
        <v>10.77400310133179</v>
      </c>
      <c r="P11" s="14"/>
      <c r="Q11" s="70">
        <f t="shared" si="2"/>
        <v>0.80045672432377446</v>
      </c>
      <c r="R11" s="71">
        <f t="shared" si="2"/>
        <v>0.18804182773831843</v>
      </c>
      <c r="S11" s="66">
        <v>2</v>
      </c>
      <c r="T11" s="14" t="str">
        <f>$D$14</f>
        <v>45.865653434725225</v>
      </c>
      <c r="U11" s="14" t="str">
        <f>$E$14</f>
        <v>10.769936872465212</v>
      </c>
      <c r="V11" s="70">
        <f t="shared" si="3"/>
        <v>0.80050666601460085</v>
      </c>
      <c r="W11" s="71">
        <f t="shared" si="3"/>
        <v>0.18797085865645838</v>
      </c>
    </row>
    <row r="12" spans="1:23">
      <c r="A12" s="20">
        <f>FIND(",",'AREA DI RILIEVO'!B31)</f>
        <v>18</v>
      </c>
      <c r="B12" s="20">
        <f>FIND(",",'AREA DI RILIEVO'!B31,A12+1)</f>
        <v>37</v>
      </c>
      <c r="C12" s="66">
        <v>3</v>
      </c>
      <c r="D12" s="14" t="str">
        <f>IF($B$1=1,MID('AREA DI RILIEVO'!B31,1,A12-1),'AREA DI RILIEVO'!B42)</f>
        <v>45.86198507645879</v>
      </c>
      <c r="E12" s="14" t="str">
        <f>IF($B$1=1,MID('AREA DI RILIEVO'!B31,A12+1,B12-1-A12),'AREA DI RILIEVO'!C42)</f>
        <v>10.773563219053347</v>
      </c>
      <c r="F12" s="70">
        <f t="shared" si="0"/>
        <v>0.80044264108470775</v>
      </c>
      <c r="G12" s="71">
        <f t="shared" si="0"/>
        <v>0.18803415034423915</v>
      </c>
      <c r="H12" s="66">
        <v>3</v>
      </c>
      <c r="I12" s="14" t="str">
        <f>$D$13</f>
        <v>45.86279198661917</v>
      </c>
      <c r="J12" s="14" t="str">
        <f>$E$13</f>
        <v>10.77400310133179</v>
      </c>
      <c r="K12" s="70">
        <f t="shared" si="1"/>
        <v>0.80045672432377446</v>
      </c>
      <c r="L12" s="71">
        <f t="shared" si="1"/>
        <v>0.18804182773831843</v>
      </c>
      <c r="M12" s="66">
        <v>3</v>
      </c>
      <c r="N12" s="14" t="str">
        <f>$D$14</f>
        <v>45.865653434725225</v>
      </c>
      <c r="O12" s="14" t="str">
        <f>$E$14</f>
        <v>10.769936872465212</v>
      </c>
      <c r="P12" s="14"/>
      <c r="Q12" s="70">
        <f t="shared" si="2"/>
        <v>0.80050666601460085</v>
      </c>
      <c r="R12" s="71">
        <f t="shared" si="2"/>
        <v>0.18797085865645838</v>
      </c>
      <c r="S12" s="66">
        <v>3</v>
      </c>
      <c r="T12" s="14" t="str">
        <f>$D$11</f>
        <v>45.86397244519919</v>
      </c>
      <c r="U12" s="14" t="str">
        <f>$E$11</f>
        <v>10.768434835416873</v>
      </c>
      <c r="V12" s="70">
        <f t="shared" si="3"/>
        <v>0.80047732721267895</v>
      </c>
      <c r="W12" s="71">
        <f t="shared" si="3"/>
        <v>0.18794464316447682</v>
      </c>
    </row>
    <row r="13" spans="1:23">
      <c r="A13" s="20">
        <f>FIND(",",'AREA DI RILIEVO'!B32)</f>
        <v>18</v>
      </c>
      <c r="B13" s="20">
        <f>FIND(",",'AREA DI RILIEVO'!B32,A13+1)</f>
        <v>36</v>
      </c>
      <c r="C13" s="66">
        <v>4</v>
      </c>
      <c r="D13" s="14" t="str">
        <f>IF($B$1=1,MID('AREA DI RILIEVO'!B32,1,A13-1),'AREA DI RILIEVO'!B43)</f>
        <v>45.86279198661917</v>
      </c>
      <c r="E13" s="14" t="str">
        <f>IF($B$1=1,MID('AREA DI RILIEVO'!B32,A13+1,B13-1-A13),'AREA DI RILIEVO'!C43)</f>
        <v>10.77400310133179</v>
      </c>
      <c r="F13" s="70">
        <f t="shared" si="0"/>
        <v>0.80045672432377446</v>
      </c>
      <c r="G13" s="71">
        <f t="shared" si="0"/>
        <v>0.18804182773831843</v>
      </c>
      <c r="H13" s="66">
        <v>4</v>
      </c>
      <c r="I13" s="14" t="str">
        <f>$D$14</f>
        <v>45.865653434725225</v>
      </c>
      <c r="J13" s="14" t="str">
        <f>$E$14</f>
        <v>10.769936872465212</v>
      </c>
      <c r="K13" s="70">
        <f t="shared" si="1"/>
        <v>0.80050666601460085</v>
      </c>
      <c r="L13" s="71">
        <f t="shared" si="1"/>
        <v>0.18797085865645838</v>
      </c>
      <c r="M13" s="66">
        <v>4</v>
      </c>
      <c r="N13" s="14" t="str">
        <f>$D$11</f>
        <v>45.86397244519919</v>
      </c>
      <c r="O13" s="14" t="str">
        <f>$E$11</f>
        <v>10.768434835416873</v>
      </c>
      <c r="P13" s="14"/>
      <c r="Q13" s="70">
        <f t="shared" si="2"/>
        <v>0.80047732721267895</v>
      </c>
      <c r="R13" s="71">
        <f t="shared" si="2"/>
        <v>0.18794464316447682</v>
      </c>
      <c r="S13" s="66">
        <v>4</v>
      </c>
      <c r="T13" s="14" t="str">
        <f>$D$12</f>
        <v>45.86198507645879</v>
      </c>
      <c r="U13" s="14" t="str">
        <f>$E$12</f>
        <v>10.773563219053347</v>
      </c>
      <c r="V13" s="70">
        <f t="shared" si="3"/>
        <v>0.80044264108470775</v>
      </c>
      <c r="W13" s="71">
        <f t="shared" si="3"/>
        <v>0.18803415034423915</v>
      </c>
    </row>
    <row r="14" spans="1:23">
      <c r="A14" s="20">
        <f>FIND(",",'AREA DI RILIEVO'!B33)</f>
        <v>19</v>
      </c>
      <c r="B14" s="20">
        <f>FIND(",",'AREA DI RILIEVO'!B33,A14+1)</f>
        <v>38</v>
      </c>
      <c r="C14" s="72">
        <v>5</v>
      </c>
      <c r="D14" s="73" t="str">
        <f>IF($B$1=1,MID('AREA DI RILIEVO'!B33,1,A14-1),'AREA DI RILIEVO'!B44)</f>
        <v>45.865653434725225</v>
      </c>
      <c r="E14" s="73" t="str">
        <f>IF($B$1=1,MID('AREA DI RILIEVO'!B33,A14+1,B14-1-A14),'AREA DI RILIEVO'!C44)</f>
        <v>10.769936872465212</v>
      </c>
      <c r="F14" s="74">
        <f t="shared" si="0"/>
        <v>0.80050666601460085</v>
      </c>
      <c r="G14" s="75">
        <f t="shared" si="0"/>
        <v>0.18797085865645838</v>
      </c>
      <c r="H14" s="72">
        <v>5</v>
      </c>
      <c r="I14" s="73" t="str">
        <f>$D$11</f>
        <v>45.86397244519919</v>
      </c>
      <c r="J14" s="73" t="str">
        <f>$E$11</f>
        <v>10.768434835416873</v>
      </c>
      <c r="K14" s="74">
        <f t="shared" si="1"/>
        <v>0.80047732721267895</v>
      </c>
      <c r="L14" s="75">
        <f t="shared" si="1"/>
        <v>0.18794464316447682</v>
      </c>
      <c r="M14" s="72">
        <v>5</v>
      </c>
      <c r="N14" s="73" t="str">
        <f>$D$12</f>
        <v>45.86198507645879</v>
      </c>
      <c r="O14" s="73" t="str">
        <f>$E$12</f>
        <v>10.773563219053347</v>
      </c>
      <c r="P14" s="73"/>
      <c r="Q14" s="74">
        <f t="shared" si="2"/>
        <v>0.80044264108470775</v>
      </c>
      <c r="R14" s="75">
        <f t="shared" si="2"/>
        <v>0.18803415034423915</v>
      </c>
      <c r="S14" s="72">
        <v>5</v>
      </c>
      <c r="T14" s="73" t="str">
        <f>$D$13</f>
        <v>45.86279198661917</v>
      </c>
      <c r="U14" s="73" t="str">
        <f>$E$13</f>
        <v>10.77400310133179</v>
      </c>
      <c r="V14" s="74">
        <f t="shared" si="3"/>
        <v>0.80045672432377446</v>
      </c>
      <c r="W14" s="75">
        <f t="shared" si="3"/>
        <v>0.18804182773831843</v>
      </c>
    </row>
    <row r="15" spans="1:23">
      <c r="C15" s="101">
        <v>5</v>
      </c>
      <c r="D15" s="102"/>
      <c r="E15" s="102"/>
      <c r="F15" s="102"/>
      <c r="G15" s="103"/>
      <c r="H15" s="101">
        <v>6</v>
      </c>
      <c r="I15" s="102"/>
      <c r="J15" s="102"/>
      <c r="K15" s="102"/>
      <c r="L15" s="103"/>
      <c r="M15" s="101">
        <v>7</v>
      </c>
      <c r="N15" s="102"/>
      <c r="O15" s="102"/>
      <c r="P15" s="102"/>
      <c r="Q15" s="102"/>
      <c r="R15" s="103"/>
      <c r="S15" s="101">
        <v>8</v>
      </c>
      <c r="T15" s="102"/>
      <c r="U15" s="102"/>
      <c r="V15" s="102"/>
      <c r="W15" s="103"/>
    </row>
    <row r="16" spans="1:23">
      <c r="C16" s="104" t="s">
        <v>171</v>
      </c>
      <c r="D16" s="105"/>
      <c r="E16" s="105"/>
      <c r="F16" s="105"/>
      <c r="G16" s="106"/>
      <c r="H16" s="104" t="s">
        <v>172</v>
      </c>
      <c r="I16" s="105"/>
      <c r="J16" s="105"/>
      <c r="K16" s="105"/>
      <c r="L16" s="106"/>
      <c r="M16" s="104" t="s">
        <v>173</v>
      </c>
      <c r="N16" s="105"/>
      <c r="O16" s="105"/>
      <c r="P16" s="105"/>
      <c r="Q16" s="105"/>
      <c r="R16" s="106"/>
      <c r="S16" s="104" t="s">
        <v>170</v>
      </c>
      <c r="T16" s="105"/>
      <c r="U16" s="105"/>
      <c r="V16" s="105"/>
      <c r="W16" s="106"/>
    </row>
    <row r="17" spans="1:23">
      <c r="C17" s="66" t="s">
        <v>159</v>
      </c>
      <c r="D17" s="20" t="s">
        <v>100</v>
      </c>
      <c r="E17" s="20" t="s">
        <v>101</v>
      </c>
      <c r="F17" s="21" t="s">
        <v>130</v>
      </c>
      <c r="G17" s="67" t="s">
        <v>131</v>
      </c>
      <c r="H17" s="66" t="s">
        <v>159</v>
      </c>
      <c r="I17" s="20" t="s">
        <v>100</v>
      </c>
      <c r="J17" s="20" t="s">
        <v>101</v>
      </c>
      <c r="K17" s="21" t="s">
        <v>130</v>
      </c>
      <c r="L17" s="67" t="s">
        <v>131</v>
      </c>
      <c r="M17" s="66" t="s">
        <v>159</v>
      </c>
      <c r="N17" s="20" t="s">
        <v>100</v>
      </c>
      <c r="O17" s="20" t="s">
        <v>101</v>
      </c>
      <c r="Q17" s="21" t="s">
        <v>130</v>
      </c>
      <c r="R17" s="67" t="s">
        <v>131</v>
      </c>
      <c r="S17" s="66" t="s">
        <v>159</v>
      </c>
      <c r="T17" s="20" t="s">
        <v>100</v>
      </c>
      <c r="U17" s="20" t="s">
        <v>101</v>
      </c>
      <c r="V17" s="21" t="s">
        <v>130</v>
      </c>
      <c r="W17" s="67" t="s">
        <v>131</v>
      </c>
    </row>
    <row r="18" spans="1:23">
      <c r="C18" s="66"/>
      <c r="D18" s="59" t="s">
        <v>57</v>
      </c>
      <c r="E18" s="59" t="s">
        <v>57</v>
      </c>
      <c r="F18" s="68" t="s">
        <v>56</v>
      </c>
      <c r="G18" s="69" t="s">
        <v>56</v>
      </c>
      <c r="H18" s="66"/>
      <c r="I18" s="59" t="s">
        <v>57</v>
      </c>
      <c r="J18" s="59" t="s">
        <v>57</v>
      </c>
      <c r="K18" s="68" t="s">
        <v>56</v>
      </c>
      <c r="L18" s="69" t="s">
        <v>56</v>
      </c>
      <c r="M18" s="66"/>
      <c r="N18" s="59" t="s">
        <v>57</v>
      </c>
      <c r="O18" s="59" t="s">
        <v>57</v>
      </c>
      <c r="P18" s="59"/>
      <c r="Q18" s="68" t="s">
        <v>56</v>
      </c>
      <c r="R18" s="69" t="s">
        <v>56</v>
      </c>
      <c r="S18" s="66"/>
      <c r="T18" s="59" t="s">
        <v>57</v>
      </c>
      <c r="U18" s="59" t="s">
        <v>57</v>
      </c>
      <c r="V18" s="68" t="s">
        <v>56</v>
      </c>
      <c r="W18" s="69" t="s">
        <v>56</v>
      </c>
    </row>
    <row r="19" spans="1:23">
      <c r="C19" s="66">
        <v>1</v>
      </c>
      <c r="D19" s="14" t="str">
        <f>$D$10</f>
        <v>45.8629937123294</v>
      </c>
      <c r="E19" s="14" t="str">
        <f>$E$10</f>
        <v>10.768091512662966</v>
      </c>
      <c r="F19" s="70">
        <f t="shared" ref="F19:G23" si="4">D19*PI()/180</f>
        <v>0.80046024510160507</v>
      </c>
      <c r="G19" s="71">
        <f t="shared" si="4"/>
        <v>0.18793865105202429</v>
      </c>
      <c r="H19" s="66">
        <v>1</v>
      </c>
      <c r="I19" s="14" t="str">
        <f>$D$10</f>
        <v>45.8629937123294</v>
      </c>
      <c r="J19" s="14" t="str">
        <f>$E$10</f>
        <v>10.768091512662966</v>
      </c>
      <c r="K19" s="70">
        <f t="shared" ref="K19:L23" si="5">I19*PI()/180</f>
        <v>0.80046024510160507</v>
      </c>
      <c r="L19" s="71">
        <f t="shared" si="5"/>
        <v>0.18793865105202429</v>
      </c>
      <c r="M19" s="66">
        <v>1</v>
      </c>
      <c r="N19" s="14" t="str">
        <f>$D$10</f>
        <v>45.8629937123294</v>
      </c>
      <c r="O19" s="14" t="str">
        <f>$E$10</f>
        <v>10.768091512662966</v>
      </c>
      <c r="P19" s="14"/>
      <c r="Q19" s="70">
        <f t="shared" ref="Q19:R23" si="6">N19*PI()/180</f>
        <v>0.80046024510160507</v>
      </c>
      <c r="R19" s="71">
        <f t="shared" si="6"/>
        <v>0.18793865105202429</v>
      </c>
      <c r="S19" s="66">
        <v>1</v>
      </c>
      <c r="T19" s="14" t="str">
        <f>$D$10</f>
        <v>45.8629937123294</v>
      </c>
      <c r="U19" s="14" t="str">
        <f>$E$10</f>
        <v>10.768091512662966</v>
      </c>
      <c r="V19" s="70">
        <f t="shared" ref="V19:W23" si="7">T19*PI()/180</f>
        <v>0.80046024510160507</v>
      </c>
      <c r="W19" s="71">
        <f t="shared" si="7"/>
        <v>0.18793865105202429</v>
      </c>
    </row>
    <row r="20" spans="1:23">
      <c r="C20" s="66">
        <v>2</v>
      </c>
      <c r="D20" s="14" t="str">
        <f>$D$14</f>
        <v>45.865653434725225</v>
      </c>
      <c r="E20" s="14" t="str">
        <f>$E$14</f>
        <v>10.769936872465212</v>
      </c>
      <c r="F20" s="70">
        <f t="shared" si="4"/>
        <v>0.80050666601460085</v>
      </c>
      <c r="G20" s="71">
        <f t="shared" si="4"/>
        <v>0.18797085865645838</v>
      </c>
      <c r="H20" s="66">
        <v>2</v>
      </c>
      <c r="I20" s="14" t="str">
        <f>$D$13</f>
        <v>45.86279198661917</v>
      </c>
      <c r="J20" s="14" t="str">
        <f>$E$13</f>
        <v>10.77400310133179</v>
      </c>
      <c r="K20" s="70">
        <f t="shared" si="5"/>
        <v>0.80045672432377446</v>
      </c>
      <c r="L20" s="71">
        <f t="shared" si="5"/>
        <v>0.18804182773831843</v>
      </c>
      <c r="M20" s="66">
        <v>2</v>
      </c>
      <c r="N20" s="14" t="str">
        <f>$D$12</f>
        <v>45.86198507645879</v>
      </c>
      <c r="O20" s="14" t="str">
        <f>$E$12</f>
        <v>10.773563219053347</v>
      </c>
      <c r="P20" s="14"/>
      <c r="Q20" s="70">
        <f t="shared" si="6"/>
        <v>0.80044264108470775</v>
      </c>
      <c r="R20" s="71">
        <f t="shared" si="6"/>
        <v>0.18803415034423915</v>
      </c>
      <c r="S20" s="66">
        <v>2</v>
      </c>
      <c r="T20" s="14" t="str">
        <f>$D$11</f>
        <v>45.86397244519919</v>
      </c>
      <c r="U20" s="14" t="str">
        <f>$E$11</f>
        <v>10.768434835416873</v>
      </c>
      <c r="V20" s="70">
        <f t="shared" si="7"/>
        <v>0.80047732721267895</v>
      </c>
      <c r="W20" s="71">
        <f t="shared" si="7"/>
        <v>0.18794464316447682</v>
      </c>
    </row>
    <row r="21" spans="1:23">
      <c r="C21" s="66">
        <v>3</v>
      </c>
      <c r="D21" s="14" t="str">
        <f>$D$13</f>
        <v>45.86279198661917</v>
      </c>
      <c r="E21" s="14" t="str">
        <f>$E$13</f>
        <v>10.77400310133179</v>
      </c>
      <c r="F21" s="70">
        <f t="shared" si="4"/>
        <v>0.80045672432377446</v>
      </c>
      <c r="G21" s="71">
        <f t="shared" si="4"/>
        <v>0.18804182773831843</v>
      </c>
      <c r="H21" s="66">
        <v>3</v>
      </c>
      <c r="I21" s="14" t="str">
        <f>$D$12</f>
        <v>45.86198507645879</v>
      </c>
      <c r="J21" s="14" t="str">
        <f>$E$12</f>
        <v>10.773563219053347</v>
      </c>
      <c r="K21" s="70">
        <f t="shared" si="5"/>
        <v>0.80044264108470775</v>
      </c>
      <c r="L21" s="71">
        <f t="shared" si="5"/>
        <v>0.18803415034423915</v>
      </c>
      <c r="M21" s="66">
        <v>3</v>
      </c>
      <c r="N21" s="14" t="str">
        <f>$D$11</f>
        <v>45.86397244519919</v>
      </c>
      <c r="O21" s="14" t="str">
        <f>$E$11</f>
        <v>10.768434835416873</v>
      </c>
      <c r="P21" s="14"/>
      <c r="Q21" s="70">
        <f t="shared" si="6"/>
        <v>0.80047732721267895</v>
      </c>
      <c r="R21" s="71">
        <f t="shared" si="6"/>
        <v>0.18794464316447682</v>
      </c>
      <c r="S21" s="66">
        <v>3</v>
      </c>
      <c r="T21" s="14" t="str">
        <f>$D$14</f>
        <v>45.865653434725225</v>
      </c>
      <c r="U21" s="14" t="str">
        <f>$E$14</f>
        <v>10.769936872465212</v>
      </c>
      <c r="V21" s="70">
        <f t="shared" si="7"/>
        <v>0.80050666601460085</v>
      </c>
      <c r="W21" s="71">
        <f t="shared" si="7"/>
        <v>0.18797085865645838</v>
      </c>
    </row>
    <row r="22" spans="1:23">
      <c r="C22" s="66">
        <v>4</v>
      </c>
      <c r="D22" s="14" t="str">
        <f>$D$12</f>
        <v>45.86198507645879</v>
      </c>
      <c r="E22" s="14" t="str">
        <f>$E$12</f>
        <v>10.773563219053347</v>
      </c>
      <c r="F22" s="70">
        <f t="shared" si="4"/>
        <v>0.80044264108470775</v>
      </c>
      <c r="G22" s="71">
        <f t="shared" si="4"/>
        <v>0.18803415034423915</v>
      </c>
      <c r="H22" s="66">
        <v>4</v>
      </c>
      <c r="I22" s="14" t="str">
        <f>$D$11</f>
        <v>45.86397244519919</v>
      </c>
      <c r="J22" s="14" t="str">
        <f>$E$11</f>
        <v>10.768434835416873</v>
      </c>
      <c r="K22" s="70">
        <f t="shared" si="5"/>
        <v>0.80047732721267895</v>
      </c>
      <c r="L22" s="71">
        <f t="shared" si="5"/>
        <v>0.18794464316447682</v>
      </c>
      <c r="M22" s="66">
        <v>4</v>
      </c>
      <c r="N22" s="14" t="str">
        <f>$D$14</f>
        <v>45.865653434725225</v>
      </c>
      <c r="O22" s="14" t="str">
        <f>$E$14</f>
        <v>10.769936872465212</v>
      </c>
      <c r="P22" s="14"/>
      <c r="Q22" s="70">
        <f t="shared" si="6"/>
        <v>0.80050666601460085</v>
      </c>
      <c r="R22" s="71">
        <f t="shared" si="6"/>
        <v>0.18797085865645838</v>
      </c>
      <c r="S22" s="66">
        <v>4</v>
      </c>
      <c r="T22" s="14" t="str">
        <f>$D$13</f>
        <v>45.86279198661917</v>
      </c>
      <c r="U22" s="14" t="str">
        <f>$E$13</f>
        <v>10.77400310133179</v>
      </c>
      <c r="V22" s="70">
        <f t="shared" si="7"/>
        <v>0.80045672432377446</v>
      </c>
      <c r="W22" s="71">
        <f t="shared" si="7"/>
        <v>0.18804182773831843</v>
      </c>
    </row>
    <row r="23" spans="1:23">
      <c r="C23" s="72">
        <v>5</v>
      </c>
      <c r="D23" s="73" t="str">
        <f>$D$11</f>
        <v>45.86397244519919</v>
      </c>
      <c r="E23" s="73" t="str">
        <f>$E$11</f>
        <v>10.768434835416873</v>
      </c>
      <c r="F23" s="74">
        <f t="shared" si="4"/>
        <v>0.80047732721267895</v>
      </c>
      <c r="G23" s="75">
        <f t="shared" si="4"/>
        <v>0.18794464316447682</v>
      </c>
      <c r="H23" s="72">
        <v>5</v>
      </c>
      <c r="I23" s="73" t="str">
        <f>$D$14</f>
        <v>45.865653434725225</v>
      </c>
      <c r="J23" s="73" t="str">
        <f>$E$14</f>
        <v>10.769936872465212</v>
      </c>
      <c r="K23" s="74">
        <f t="shared" si="5"/>
        <v>0.80050666601460085</v>
      </c>
      <c r="L23" s="75">
        <f t="shared" si="5"/>
        <v>0.18797085865645838</v>
      </c>
      <c r="M23" s="72">
        <v>5</v>
      </c>
      <c r="N23" s="73" t="str">
        <f>$D$13</f>
        <v>45.86279198661917</v>
      </c>
      <c r="O23" s="73" t="str">
        <f>$E$13</f>
        <v>10.77400310133179</v>
      </c>
      <c r="P23" s="73"/>
      <c r="Q23" s="74">
        <f t="shared" si="6"/>
        <v>0.80045672432377446</v>
      </c>
      <c r="R23" s="75">
        <f t="shared" si="6"/>
        <v>0.18804182773831843</v>
      </c>
      <c r="S23" s="72">
        <v>5</v>
      </c>
      <c r="T23" s="73" t="str">
        <f>$D$12</f>
        <v>45.86198507645879</v>
      </c>
      <c r="U23" s="73" t="str">
        <f>$E$12</f>
        <v>10.773563219053347</v>
      </c>
      <c r="V23" s="74">
        <f t="shared" si="7"/>
        <v>0.80044264108470775</v>
      </c>
      <c r="W23" s="75">
        <f t="shared" si="7"/>
        <v>0.18803415034423915</v>
      </c>
    </row>
    <row r="24" spans="1:23">
      <c r="U24" s="20"/>
    </row>
    <row r="25" spans="1:23">
      <c r="T25" s="22"/>
      <c r="U25" s="20"/>
    </row>
    <row r="26" spans="1:23">
      <c r="A26" s="105" t="s">
        <v>58</v>
      </c>
      <c r="B26" s="105"/>
      <c r="C26" s="105"/>
      <c r="D26" s="105"/>
      <c r="T26" s="22"/>
      <c r="U26" s="20"/>
    </row>
    <row r="27" spans="1:23">
      <c r="A27" s="20" t="s">
        <v>46</v>
      </c>
      <c r="B27" s="14">
        <v>6378137</v>
      </c>
      <c r="C27" s="20" t="s">
        <v>47</v>
      </c>
      <c r="D27" s="21" t="s">
        <v>48</v>
      </c>
      <c r="T27" s="22"/>
      <c r="U27" s="20"/>
    </row>
    <row r="28" spans="1:23">
      <c r="A28" s="20" t="s">
        <v>49</v>
      </c>
      <c r="B28" s="14">
        <f>B27-B27/B29</f>
        <v>6356752.3142451793</v>
      </c>
      <c r="C28" s="20" t="s">
        <v>47</v>
      </c>
      <c r="D28" s="21" t="s">
        <v>50</v>
      </c>
      <c r="T28" s="22"/>
      <c r="U28" s="20"/>
    </row>
    <row r="29" spans="1:23">
      <c r="A29" s="20" t="s">
        <v>51</v>
      </c>
      <c r="B29" s="76">
        <v>298.25722356300003</v>
      </c>
      <c r="D29" s="21" t="s">
        <v>52</v>
      </c>
      <c r="T29" s="22"/>
      <c r="U29" s="20"/>
    </row>
    <row r="30" spans="1:23">
      <c r="A30" s="20" t="s">
        <v>53</v>
      </c>
      <c r="B30" s="20">
        <f>SQRT((3*B27^2+B28^2)/4)</f>
        <v>6372797.5559594007</v>
      </c>
      <c r="C30" s="20" t="s">
        <v>47</v>
      </c>
      <c r="D30" s="21" t="s">
        <v>54</v>
      </c>
    </row>
    <row r="33" spans="1:5">
      <c r="B33"/>
      <c r="C33"/>
      <c r="D33"/>
      <c r="E33"/>
    </row>
    <row r="34" spans="1:5">
      <c r="A34" s="20" t="s">
        <v>159</v>
      </c>
      <c r="B34" s="20" t="s">
        <v>100</v>
      </c>
      <c r="C34" s="20" t="s">
        <v>101</v>
      </c>
      <c r="D34" s="21" t="s">
        <v>130</v>
      </c>
      <c r="E34" s="21" t="s">
        <v>131</v>
      </c>
    </row>
    <row r="35" spans="1:5">
      <c r="B35" s="59" t="s">
        <v>57</v>
      </c>
      <c r="C35" s="59" t="s">
        <v>57</v>
      </c>
      <c r="D35" s="68" t="s">
        <v>56</v>
      </c>
      <c r="E35" s="68" t="s">
        <v>56</v>
      </c>
    </row>
    <row r="36" spans="1:5">
      <c r="A36" s="20">
        <v>1</v>
      </c>
      <c r="B36" s="14" t="str">
        <f t="shared" ref="B36:C40" si="8">IF($B$2=$C$6,D10,IF($B$2=$H$6,I10,IF($B$2=$M$6,N10,IF($B$2=$S$6,T10,IF($B$2=$C$15,D19,IF($B$2=$H$15,I19,IF($B$2=$M$15,N19,IF($B$2=$S$15,T19))))))))</f>
        <v>45.8629937123294</v>
      </c>
      <c r="C36" s="14" t="str">
        <f t="shared" si="8"/>
        <v>10.768091512662966</v>
      </c>
      <c r="D36" s="70">
        <f t="shared" ref="D36:E40" si="9">B36*PI()/180</f>
        <v>0.80046024510160507</v>
      </c>
      <c r="E36" s="70">
        <f t="shared" si="9"/>
        <v>0.18793865105202429</v>
      </c>
    </row>
    <row r="37" spans="1:5">
      <c r="A37" s="20">
        <v>2</v>
      </c>
      <c r="B37" s="14" t="str">
        <f t="shared" si="8"/>
        <v>45.865653434725225</v>
      </c>
      <c r="C37" s="14" t="str">
        <f t="shared" si="8"/>
        <v>10.769936872465212</v>
      </c>
      <c r="D37" s="70">
        <f t="shared" si="9"/>
        <v>0.80050666601460085</v>
      </c>
      <c r="E37" s="70">
        <f t="shared" si="9"/>
        <v>0.18797085865645838</v>
      </c>
    </row>
    <row r="38" spans="1:5">
      <c r="A38" s="20">
        <v>3</v>
      </c>
      <c r="B38" s="14" t="str">
        <f t="shared" si="8"/>
        <v>45.86397244519919</v>
      </c>
      <c r="C38" s="14" t="str">
        <f t="shared" si="8"/>
        <v>10.768434835416873</v>
      </c>
      <c r="D38" s="70">
        <f t="shared" si="9"/>
        <v>0.80047732721267895</v>
      </c>
      <c r="E38" s="70">
        <f t="shared" si="9"/>
        <v>0.18794464316447682</v>
      </c>
    </row>
    <row r="39" spans="1:5">
      <c r="A39" s="20">
        <v>4</v>
      </c>
      <c r="B39" s="14" t="str">
        <f t="shared" si="8"/>
        <v>45.86198507645879</v>
      </c>
      <c r="C39" s="14" t="str">
        <f t="shared" si="8"/>
        <v>10.773563219053347</v>
      </c>
      <c r="D39" s="70">
        <f t="shared" si="9"/>
        <v>0.80044264108470775</v>
      </c>
      <c r="E39" s="70">
        <f t="shared" si="9"/>
        <v>0.18803415034423915</v>
      </c>
    </row>
    <row r="40" spans="1:5">
      <c r="A40" s="20">
        <v>5</v>
      </c>
      <c r="B40" s="14" t="str">
        <f t="shared" si="8"/>
        <v>45.86279198661917</v>
      </c>
      <c r="C40" s="14" t="str">
        <f t="shared" si="8"/>
        <v>10.77400310133179</v>
      </c>
      <c r="D40" s="70">
        <f t="shared" si="9"/>
        <v>0.80045672432377446</v>
      </c>
      <c r="E40" s="70">
        <f t="shared" si="9"/>
        <v>0.18804182773831843</v>
      </c>
    </row>
    <row r="44" spans="1:5">
      <c r="A44" s="77" t="s">
        <v>103</v>
      </c>
      <c r="B44" s="77" t="s">
        <v>104</v>
      </c>
      <c r="C44" s="78" t="s">
        <v>105</v>
      </c>
      <c r="D44" s="79" t="s">
        <v>132</v>
      </c>
      <c r="E44" s="68" t="s">
        <v>106</v>
      </c>
    </row>
    <row r="45" spans="1:5">
      <c r="A45" s="20" t="s">
        <v>56</v>
      </c>
      <c r="B45" s="20" t="s">
        <v>56</v>
      </c>
      <c r="C45" s="20" t="s">
        <v>56</v>
      </c>
      <c r="D45" s="21" t="s">
        <v>57</v>
      </c>
      <c r="E45" s="21" t="s">
        <v>47</v>
      </c>
    </row>
    <row r="46" spans="1:5">
      <c r="A46" s="80">
        <f>LN(TAN(D38/2+PI()/4)/TAN(D37/2+PI()/4))</f>
        <v>-4.2132040684405398E-5</v>
      </c>
      <c r="B46" s="80">
        <f>E38-E37</f>
        <v>-2.62154919815627E-5</v>
      </c>
      <c r="C46" s="14">
        <f>IF(PI()/2-ATAN2(B46,A46)&lt;0,PI()/2-ATAN2(B46,A46)+2*PI(),PI()/2-ATAN2(B46,A46))</f>
        <v>3.6981919716026663</v>
      </c>
      <c r="D46" s="70">
        <f>C46*180/PI()</f>
        <v>211.89079180199758</v>
      </c>
      <c r="E46" s="41">
        <f>$B$30*ACOS(SIN(D37)*SIN(D38)+COS(D37)*COS(D38)*COS(E37-E38))</f>
        <v>220.20939378414508</v>
      </c>
    </row>
    <row r="48" spans="1:5">
      <c r="A48" s="77" t="s">
        <v>110</v>
      </c>
      <c r="B48" s="77" t="s">
        <v>109</v>
      </c>
      <c r="C48" s="78" t="s">
        <v>108</v>
      </c>
      <c r="D48" s="79" t="s">
        <v>133</v>
      </c>
      <c r="E48" s="68" t="s">
        <v>107</v>
      </c>
    </row>
    <row r="49" spans="1:8">
      <c r="A49" s="20" t="s">
        <v>56</v>
      </c>
      <c r="B49" s="20" t="s">
        <v>56</v>
      </c>
      <c r="C49" s="20" t="s">
        <v>56</v>
      </c>
      <c r="D49" s="21" t="s">
        <v>57</v>
      </c>
      <c r="E49" s="21" t="s">
        <v>47</v>
      </c>
    </row>
    <row r="50" spans="1:8">
      <c r="A50" s="80">
        <f>LN(TAN(D39/2+PI()/4)/TAN(D38/2+PI()/4))</f>
        <v>-4.9809434762199512E-5</v>
      </c>
      <c r="B50" s="80">
        <f>E39-E38</f>
        <v>8.9507179762332578E-5</v>
      </c>
      <c r="C50" s="14">
        <f>IF(PI()/2-ATAN2(B50,A50)&lt;0,PI()/2-ATAN2(B50,A50)+2*PI(),PI()/2-ATAN2(B50,A50))</f>
        <v>2.0786050583325277</v>
      </c>
      <c r="D50" s="70">
        <f>C50*180/PI()</f>
        <v>119.09529711699813</v>
      </c>
      <c r="E50" s="41">
        <f>$B$30*ACOS(SIN(D38)*SIN(D39)+COS(D38)*COS(D39)*COS(E38-E39))</f>
        <v>454.58398048560514</v>
      </c>
    </row>
    <row r="52" spans="1:8">
      <c r="A52" s="77" t="s">
        <v>139</v>
      </c>
      <c r="B52" s="77" t="s">
        <v>140</v>
      </c>
      <c r="C52" s="78" t="s">
        <v>129</v>
      </c>
      <c r="D52" s="79" t="s">
        <v>136</v>
      </c>
      <c r="E52" s="68" t="s">
        <v>141</v>
      </c>
    </row>
    <row r="53" spans="1:8">
      <c r="A53" s="20" t="s">
        <v>56</v>
      </c>
      <c r="B53" s="20" t="s">
        <v>56</v>
      </c>
      <c r="C53" s="20" t="s">
        <v>56</v>
      </c>
      <c r="D53" s="21" t="s">
        <v>57</v>
      </c>
      <c r="E53" s="21" t="s">
        <v>47</v>
      </c>
    </row>
    <row r="54" spans="1:8">
      <c r="A54" s="80">
        <f>LN(TAN(D40/2+PI()/4)/TAN(D39/2+PI()/4))</f>
        <v>2.0223379527065854E-5</v>
      </c>
      <c r="B54" s="80">
        <f>E40-E39</f>
        <v>7.6773940792806972E-6</v>
      </c>
      <c r="C54" s="14">
        <f>IF(PI()/2-ATAN2(B54,A54)&lt;0,PI()/2-ATAN2(B54,A54)+2*PI(),PI()/2-ATAN2(B54,A54))</f>
        <v>0.36282333296813385</v>
      </c>
      <c r="D54" s="70">
        <f>C54*180/PI()</f>
        <v>20.788245687943849</v>
      </c>
      <c r="E54" s="41">
        <f>$B$30*ACOS(SIN(D39)*SIN(D40)+COS(D39)*COS(D40)*COS(E39-E40))</f>
        <v>95.999292857861391</v>
      </c>
      <c r="H54" s="21"/>
    </row>
    <row r="56" spans="1:8">
      <c r="A56" s="77" t="s">
        <v>111</v>
      </c>
      <c r="B56" s="77" t="s">
        <v>112</v>
      </c>
      <c r="C56" s="78" t="s">
        <v>113</v>
      </c>
      <c r="D56" s="79" t="s">
        <v>134</v>
      </c>
      <c r="E56" s="68" t="s">
        <v>114</v>
      </c>
    </row>
    <row r="57" spans="1:8">
      <c r="A57" s="20" t="s">
        <v>56</v>
      </c>
      <c r="B57" s="20" t="s">
        <v>56</v>
      </c>
      <c r="C57" s="20" t="s">
        <v>56</v>
      </c>
      <c r="D57" s="21" t="s">
        <v>57</v>
      </c>
      <c r="E57" s="21" t="s">
        <v>47</v>
      </c>
    </row>
    <row r="58" spans="1:8">
      <c r="A58" s="80">
        <f>LN(TAN(D40/2+PI()/4)/TAN(D37/2+PI()/4))</f>
        <v>-7.1718095919620276E-5</v>
      </c>
      <c r="B58" s="80">
        <f>E40-E37</f>
        <v>7.0969081860050576E-5</v>
      </c>
      <c r="C58" s="14">
        <f>IF(PI()/2-ATAN2(B58,A58)&lt;0,PI()/2-ATAN2(B58,A58)+2*PI(),PI()/2-ATAN2(B58,A58))</f>
        <v>2.3614437858297803</v>
      </c>
      <c r="D58" s="70">
        <f>C58*180/PI()</f>
        <v>135.30076248544148</v>
      </c>
      <c r="E58" s="41">
        <f>$B$30*ACOS(SIN(D37)*SIN(D40)+COS(D37)*COS(D40)*COS(E37-E40))</f>
        <v>447.75511634798431</v>
      </c>
    </row>
    <row r="60" spans="1:8">
      <c r="A60" s="77"/>
      <c r="B60" s="77"/>
      <c r="C60" s="78" t="s">
        <v>115</v>
      </c>
      <c r="D60" s="79" t="s">
        <v>135</v>
      </c>
      <c r="E60" s="68"/>
    </row>
    <row r="61" spans="1:8">
      <c r="C61" s="20" t="s">
        <v>56</v>
      </c>
      <c r="D61" s="21" t="s">
        <v>57</v>
      </c>
    </row>
    <row r="62" spans="1:8">
      <c r="C62" s="14">
        <f>IF(C54+PI()&gt;2*PI(),C54+PI()-2*PI(),C54+PI())</f>
        <v>3.5044159865579267</v>
      </c>
      <c r="D62" s="14">
        <f>C62*180/PI()</f>
        <v>200.78824568794383</v>
      </c>
    </row>
    <row r="64" spans="1:8">
      <c r="A64" s="20" t="s">
        <v>62</v>
      </c>
      <c r="B64" s="39">
        <f>'DATI CAMERA E ROTTA'!B56</f>
        <v>17</v>
      </c>
      <c r="C64" s="20" t="s">
        <v>47</v>
      </c>
    </row>
    <row r="65" spans="1:30">
      <c r="A65" s="78" t="s">
        <v>118</v>
      </c>
      <c r="B65" s="14">
        <f>D46+180-D50</f>
        <v>272.79549468499943</v>
      </c>
      <c r="C65" s="20" t="s">
        <v>55</v>
      </c>
      <c r="D65" s="70">
        <f>B65*PI()/180</f>
        <v>4.7611795668599317</v>
      </c>
      <c r="E65" s="21" t="s">
        <v>56</v>
      </c>
    </row>
    <row r="66" spans="1:30">
      <c r="A66" s="20" t="s">
        <v>119</v>
      </c>
      <c r="B66" s="39">
        <f>ABS(B64/SIN(D65))</f>
        <v>17.020254520947752</v>
      </c>
      <c r="C66" s="20" t="s">
        <v>47</v>
      </c>
    </row>
    <row r="67" spans="1:30">
      <c r="A67" s="78" t="s">
        <v>120</v>
      </c>
      <c r="B67" s="14">
        <f>D58-D46</f>
        <v>-76.590029316556098</v>
      </c>
      <c r="C67" s="20" t="s">
        <v>55</v>
      </c>
      <c r="D67" s="70">
        <f>B67*PI()/180</f>
        <v>-1.3367481857728862</v>
      </c>
      <c r="E67" s="21" t="s">
        <v>56</v>
      </c>
    </row>
    <row r="68" spans="1:30">
      <c r="A68" s="20" t="s">
        <v>121</v>
      </c>
      <c r="B68" s="39">
        <f>ABS(B64/SIN(D67))</f>
        <v>17.47648708047965</v>
      </c>
      <c r="C68" s="20" t="s">
        <v>47</v>
      </c>
    </row>
    <row r="69" spans="1:30">
      <c r="A69" s="20" t="s">
        <v>122</v>
      </c>
      <c r="B69" s="14">
        <f>PI()-(C58-C46)</f>
        <v>4.4783408393626791</v>
      </c>
      <c r="C69" s="20" t="s">
        <v>56</v>
      </c>
    </row>
    <row r="70" spans="1:30">
      <c r="A70" s="20" t="s">
        <v>123</v>
      </c>
      <c r="B70" s="14">
        <f>C62-C46</f>
        <v>-0.19377598504473958</v>
      </c>
      <c r="C70" s="20" t="s">
        <v>56</v>
      </c>
    </row>
    <row r="71" spans="1:30">
      <c r="A71" s="20" t="s">
        <v>128</v>
      </c>
      <c r="B71" s="14">
        <f>C50-C46</f>
        <v>-1.6195869132701386</v>
      </c>
      <c r="C71" s="20" t="s">
        <v>56</v>
      </c>
    </row>
    <row r="72" spans="1:30">
      <c r="A72" s="20" t="s">
        <v>127</v>
      </c>
      <c r="B72" s="14">
        <f>C46-C62</f>
        <v>0.19377598504473958</v>
      </c>
      <c r="C72" s="20" t="s">
        <v>56</v>
      </c>
    </row>
    <row r="74" spans="1:30">
      <c r="K74" s="105" t="s">
        <v>156</v>
      </c>
      <c r="L74" s="105"/>
      <c r="M74" s="105"/>
      <c r="N74" s="105"/>
      <c r="O74" s="105"/>
      <c r="P74" s="105"/>
      <c r="Q74" s="105"/>
      <c r="R74" s="105"/>
    </row>
    <row r="75" spans="1:30">
      <c r="A75" s="20" t="s">
        <v>102</v>
      </c>
      <c r="B75" s="20" t="s">
        <v>99</v>
      </c>
      <c r="C75" s="20" t="s">
        <v>126</v>
      </c>
      <c r="D75" s="21" t="s">
        <v>137</v>
      </c>
      <c r="E75" s="21" t="s">
        <v>138</v>
      </c>
      <c r="F75" s="20" t="s">
        <v>116</v>
      </c>
      <c r="G75" s="20" t="s">
        <v>117</v>
      </c>
      <c r="H75" s="20" t="s">
        <v>124</v>
      </c>
      <c r="I75" s="20" t="s">
        <v>125</v>
      </c>
      <c r="K75" s="78" t="s">
        <v>154</v>
      </c>
      <c r="L75" s="78" t="s">
        <v>155</v>
      </c>
      <c r="M75" s="78" t="s">
        <v>150</v>
      </c>
      <c r="N75" s="78" t="s">
        <v>150</v>
      </c>
      <c r="O75" s="20" t="s">
        <v>153</v>
      </c>
      <c r="P75" s="20" t="s">
        <v>292</v>
      </c>
      <c r="Q75" s="20" t="s">
        <v>151</v>
      </c>
      <c r="R75" s="20" t="s">
        <v>152</v>
      </c>
      <c r="T75" s="20" t="s">
        <v>263</v>
      </c>
      <c r="V75" s="39"/>
      <c r="W75" s="55"/>
      <c r="X75" s="55"/>
    </row>
    <row r="76" spans="1:30">
      <c r="D76" s="68" t="s">
        <v>56</v>
      </c>
      <c r="E76" s="68" t="s">
        <v>56</v>
      </c>
      <c r="F76" s="59" t="s">
        <v>57</v>
      </c>
      <c r="G76" s="59" t="s">
        <v>57</v>
      </c>
      <c r="H76" s="20" t="s">
        <v>47</v>
      </c>
      <c r="I76" s="20" t="s">
        <v>47</v>
      </c>
      <c r="K76" s="20" t="s">
        <v>56</v>
      </c>
      <c r="L76" s="20" t="s">
        <v>56</v>
      </c>
      <c r="M76" s="20" t="s">
        <v>56</v>
      </c>
      <c r="N76" s="20" t="s">
        <v>57</v>
      </c>
      <c r="O76" s="20" t="s">
        <v>47</v>
      </c>
      <c r="Q76" s="20" t="s">
        <v>47</v>
      </c>
      <c r="R76" s="20" t="s">
        <v>47</v>
      </c>
      <c r="T76" s="20" t="s">
        <v>47</v>
      </c>
      <c r="V76" s="41"/>
      <c r="W76"/>
      <c r="X76"/>
    </row>
    <row r="77" spans="1:30">
      <c r="B77" s="20">
        <v>1</v>
      </c>
      <c r="D77" s="70">
        <f t="shared" ref="D77:E79" si="10">D36</f>
        <v>0.80046024510160507</v>
      </c>
      <c r="E77" s="70">
        <f t="shared" si="10"/>
        <v>0.18793865105202429</v>
      </c>
      <c r="F77" s="14">
        <f t="shared" ref="F77:G92" si="11">D77*180/PI()</f>
        <v>45.862993712329398</v>
      </c>
      <c r="G77" s="14">
        <f t="shared" si="11"/>
        <v>10.768091512662901</v>
      </c>
      <c r="Q77" s="20">
        <v>0</v>
      </c>
      <c r="R77" s="20">
        <v>0</v>
      </c>
      <c r="V77" s="21"/>
      <c r="X77"/>
    </row>
    <row r="78" spans="1:30">
      <c r="A78" s="20">
        <v>1</v>
      </c>
      <c r="B78" s="20">
        <v>2</v>
      </c>
      <c r="D78" s="70">
        <f t="shared" si="10"/>
        <v>0.80050666601460085</v>
      </c>
      <c r="E78" s="70">
        <f t="shared" si="10"/>
        <v>0.18797085865645838</v>
      </c>
      <c r="F78" s="14">
        <f t="shared" si="11"/>
        <v>45.865653434725203</v>
      </c>
      <c r="G78" s="14">
        <f t="shared" si="11"/>
        <v>10.769936872465202</v>
      </c>
      <c r="K78" s="14">
        <f>IF(ROTTE!C128&lt;&gt;"",LN(TAN(D78/2+PI()/4)/TAN($D$77/2+PI()/4)),"")</f>
        <v>6.6662251035725891E-5</v>
      </c>
      <c r="L78" s="14">
        <f>IF(ROTTE!D128&lt;&gt;"",E78-$E$77,"")</f>
        <v>3.2207604434092429E-5</v>
      </c>
      <c r="M78" s="14">
        <f>IF(K78="","",IF(L78=0,PI()/2,ATAN2(L78,K78)))</f>
        <v>1.1207225446990661</v>
      </c>
      <c r="N78" s="70">
        <f>IF(K78="","",M78*180/PI())</f>
        <v>64.212671816418236</v>
      </c>
      <c r="O78" s="39">
        <f>IF(K78="","",$B$30*ACOS(SIN($D$77)*SIN(D78)+COS($D$77)*COS(D78)*COS($E$77-E78)))</f>
        <v>328.54970666602082</v>
      </c>
      <c r="P78" s="20">
        <f>ROTTE!B1</f>
        <v>28</v>
      </c>
      <c r="Q78" s="39">
        <f>IF(K78="",NA(),O78*COS(M78))</f>
        <v>142.92962606866806</v>
      </c>
      <c r="R78" s="39">
        <f>IF(K78="",NA(),O78*SIN(M78))</f>
        <v>295.83108650410469</v>
      </c>
      <c r="S78" s="39"/>
      <c r="T78" s="39">
        <f t="shared" ref="T78:T141" si="12">IF(_xlfn.IFNA(Q78,0)=0,0,SQRT((Q78-Q77)^2+(R78-R77)^2))</f>
        <v>328.54970666602088</v>
      </c>
      <c r="V78" s="30"/>
      <c r="W78"/>
      <c r="X78"/>
    </row>
    <row r="79" spans="1:30" s="22" customFormat="1">
      <c r="A79" s="20">
        <v>1</v>
      </c>
      <c r="B79" s="20">
        <v>3</v>
      </c>
      <c r="C79" s="20"/>
      <c r="D79" s="70">
        <f t="shared" si="10"/>
        <v>0.80047732721267895</v>
      </c>
      <c r="E79" s="70">
        <f t="shared" si="10"/>
        <v>0.18794464316447682</v>
      </c>
      <c r="F79" s="14">
        <f t="shared" si="11"/>
        <v>45.86397244519911</v>
      </c>
      <c r="G79" s="14">
        <f>E79*180/PI()</f>
        <v>10.7684348354168</v>
      </c>
      <c r="H79" s="20"/>
      <c r="I79" s="20"/>
      <c r="J79" s="20"/>
      <c r="K79" s="14">
        <f>IF(ROTTE!C129&lt;&gt;"",LN(TAN(D79/2+PI()/4)/TAN($D$77/2+PI()/4)),"")</f>
        <v>2.453021035135268E-5</v>
      </c>
      <c r="L79" s="14">
        <f>IF(ROTTE!D129&lt;&gt;"",E79-$E$77,"")</f>
        <v>5.9921124525297298E-6</v>
      </c>
      <c r="M79" s="14">
        <f t="shared" ref="M79:M142" si="13">IF(K79="","",IF(L79=0,PI()/2,ATAN2(L79,K79)))</f>
        <v>1.3312132947487632</v>
      </c>
      <c r="N79" s="70">
        <f t="shared" ref="N79:N142" si="14">IF(K79="","",M79*180/PI())</f>
        <v>76.272903420809001</v>
      </c>
      <c r="O79" s="39">
        <f t="shared" ref="O79:O142" si="15">IF(K79="","",$B$30*ACOS(SIN($D$77)*SIN(D79)+COS($D$77)*COS(D79)*COS($E$77-E79)))</f>
        <v>112.06165637910441</v>
      </c>
      <c r="P79" s="20">
        <f>IF(O79="","",P78+1)</f>
        <v>29</v>
      </c>
      <c r="Q79" s="39">
        <f t="shared" ref="Q79:Q142" si="16">IF(K79="",NA(),O79*COS(M79))</f>
        <v>26.59196087443507</v>
      </c>
      <c r="R79" s="39">
        <f t="shared" ref="R79:R142" si="17">IF(K79="",NA(),O79*SIN(M79))</f>
        <v>108.8608398244336</v>
      </c>
      <c r="S79" s="39"/>
      <c r="T79" s="39">
        <f t="shared" si="12"/>
        <v>220.20973068032782</v>
      </c>
      <c r="V79" s="20"/>
      <c r="W79" s="20"/>
      <c r="X79" s="20"/>
      <c r="Y79" s="20"/>
      <c r="Z79" s="20"/>
      <c r="AA79" s="20"/>
      <c r="AB79" s="20"/>
      <c r="AC79" s="20"/>
      <c r="AD79" s="20"/>
    </row>
    <row r="80" spans="1:30" s="22" customFormat="1">
      <c r="A80" s="20">
        <v>2</v>
      </c>
      <c r="B80" s="20">
        <v>4</v>
      </c>
      <c r="C80" s="80">
        <f>$B$66*(A80-1)/$B$30</f>
        <v>2.6707665466372118E-6</v>
      </c>
      <c r="D80" s="70">
        <f>IF(I80&gt;=0,ASIN(SIN($D$38)*COS(C80)+COS($D$38)*SIN(C80)*COS($C$50)),ASIN(SIN($D$39)*COS(ABS(I80)*SIN($B$71)/SIN($B$72)/$B$30)+COS($D$39)*SIN(ABS(I80)*SIN($B$71)/SIN($B$72)/$B$30)*COS($C$54)))</f>
        <v>0.80047602851315958</v>
      </c>
      <c r="E80" s="70">
        <f>IF(I80&gt;=0,$E$38+ATAN2(COS(C80)-SIN($D$38)*SIN(D80),SIN($C$50)*SIN(C80)*COS($D$38)),$E$39+ATAN2(COS(ABS(I80)*SIN($B$71)/SIN($B$72)/$B$30)-SIN($D$39)*SIN(D80),SIN($C$54)*SIN(ABS(I80)*SIN($B$71)/SIN($B$72)/$B$30)*COS($D$39)))</f>
        <v>0.18794799449277594</v>
      </c>
      <c r="F80" s="14">
        <f t="shared" si="11"/>
        <v>45.863898035197792</v>
      </c>
      <c r="G80" s="14">
        <f t="shared" si="11"/>
        <v>10.7686268523841</v>
      </c>
      <c r="H80" s="39">
        <f>C80*$B$30</f>
        <v>17.020254520947752</v>
      </c>
      <c r="I80" s="39">
        <f>$E$50-H80</f>
        <v>437.56372596465741</v>
      </c>
      <c r="J80" s="20"/>
      <c r="K80" s="14">
        <f>IF(ROTTE!C130&lt;&gt;"",LN(TAN(D80/2+PI()/4)/TAN($D$77/2+PI()/4)),"")</f>
        <v>2.2665239952688935E-5</v>
      </c>
      <c r="L80" s="14">
        <f>IF(ROTTE!D130&lt;&gt;"",E80-$E$77,"")</f>
        <v>9.3434407516523876E-6</v>
      </c>
      <c r="M80" s="14">
        <f t="shared" si="13"/>
        <v>1.1797858932835903</v>
      </c>
      <c r="N80" s="70">
        <f t="shared" si="14"/>
        <v>67.596752414221456</v>
      </c>
      <c r="O80" s="39">
        <f t="shared" si="15"/>
        <v>108.79592531234265</v>
      </c>
      <c r="P80" s="20">
        <f t="shared" ref="P80:P143" si="18">IF(O80="","",P79+1)</f>
        <v>30</v>
      </c>
      <c r="Q80" s="39">
        <f t="shared" si="16"/>
        <v>41.46460550679204</v>
      </c>
      <c r="R80" s="39">
        <f t="shared" si="17"/>
        <v>100.5844911243028</v>
      </c>
      <c r="S80" s="39"/>
      <c r="T80" s="39">
        <f t="shared" si="12"/>
        <v>17.020385018163758</v>
      </c>
      <c r="V80" s="20"/>
      <c r="W80" s="20"/>
      <c r="X80" s="20"/>
      <c r="Y80" s="20"/>
      <c r="Z80" s="20"/>
      <c r="AA80" s="20"/>
      <c r="AB80" s="20"/>
      <c r="AC80" s="20"/>
      <c r="AD80" s="20"/>
    </row>
    <row r="81" spans="1:30" s="22" customFormat="1">
      <c r="A81" s="20">
        <v>2</v>
      </c>
      <c r="B81" s="20">
        <v>5</v>
      </c>
      <c r="C81" s="80">
        <f>$B$68*(A81-1)/$B$30</f>
        <v>2.7423571715591129E-6</v>
      </c>
      <c r="D81" s="70">
        <f>IF(I81&gt;=0,ASIN(SIN($D$37)*COS(C81)+COS($D$37)*SIN(C81)*COS($C$58)),ASIN(SIN($D$40)*COS(ABS(I81)*SIN($B$69)/SIN($B$70)/$B$30)+COS($D$40)*SIN(ABS(I81)*SIN($B$69)/SIN($B$70)/$B$30)*COS($C$62)))</f>
        <v>0.80050471672097845</v>
      </c>
      <c r="E81" s="70">
        <f>IF(I81&gt;=0,$E$37+ATAN2(COS(C81)-SIN($D$37)*SIN(D81),SIN($C$58)*SIN(C81)*COS($D$37)),$E$40+ATAN2(COS(ABS(I81)*SIN($B$69)/SIN($B$70)/$B$30)-SIN($D$40)*SIN(D81),SIN($C$62)*SIN(ABS(I81)*SIN($B$69)/SIN($B$70)/$B$30)*COS($D$40)))</f>
        <v>0.1879736287413854</v>
      </c>
      <c r="F81" s="14">
        <f t="shared" si="11"/>
        <v>45.865541748427603</v>
      </c>
      <c r="G81" s="14">
        <f t="shared" si="11"/>
        <v>10.770095586640412</v>
      </c>
      <c r="H81" s="39">
        <f t="shared" ref="H81:H144" si="19">C81*$B$30</f>
        <v>17.47648708047965</v>
      </c>
      <c r="I81" s="39">
        <f>$E$58-H81</f>
        <v>430.27862926750464</v>
      </c>
      <c r="J81" s="20"/>
      <c r="K81" s="14">
        <f>IF(ROTTE!C131&lt;&gt;"",LN(TAN(D81/2+PI()/4)/TAN($D$77/2+PI()/4)),"")</f>
        <v>6.3862924818497871E-5</v>
      </c>
      <c r="L81" s="14">
        <f>IF(ROTTE!D131&lt;&gt;"",E81-$E$77,"")</f>
        <v>3.4977689361115338E-5</v>
      </c>
      <c r="M81" s="14">
        <f t="shared" si="13"/>
        <v>1.0697210819295075</v>
      </c>
      <c r="N81" s="70">
        <f t="shared" si="14"/>
        <v>61.290503250728932</v>
      </c>
      <c r="O81" s="39">
        <f t="shared" si="15"/>
        <v>323.1324036797829</v>
      </c>
      <c r="P81" s="20">
        <f t="shared" si="18"/>
        <v>31</v>
      </c>
      <c r="Q81" s="39">
        <f t="shared" si="16"/>
        <v>155.22275001424822</v>
      </c>
      <c r="R81" s="39">
        <f t="shared" si="17"/>
        <v>283.40862404995437</v>
      </c>
      <c r="S81" s="39"/>
      <c r="T81" s="39">
        <f t="shared" si="12"/>
        <v>215.32667977237654</v>
      </c>
      <c r="V81" s="20"/>
      <c r="W81" s="20"/>
      <c r="X81" s="20"/>
      <c r="Y81" s="20"/>
      <c r="Z81" s="20"/>
      <c r="AA81" s="20"/>
      <c r="AB81" s="20"/>
      <c r="AC81" s="20"/>
      <c r="AD81" s="20"/>
    </row>
    <row r="82" spans="1:30" s="22" customFormat="1">
      <c r="A82" s="20">
        <f>A80+1</f>
        <v>3</v>
      </c>
      <c r="B82" s="20">
        <v>6</v>
      </c>
      <c r="C82" s="80">
        <f>$B$68*(A82-1)/$B$30</f>
        <v>5.4847143431182257E-6</v>
      </c>
      <c r="D82" s="70">
        <f>IF(I82&gt;=0,ASIN(SIN($D$37)*COS(C82)+COS($D$37)*SIN(C82)*COS($C$58)),ASIN(SIN($D$40)*COS(ABS(I82)*SIN($B$69)/SIN($B$70)/$B$30)+COS($D$40)*SIN(ABS(I82)*SIN($B$69)/SIN($B$70)/$B$30)*COS($C$62)))</f>
        <v>0.800502767423521</v>
      </c>
      <c r="E82" s="70">
        <f>IF(I82&gt;=0,$E$37+ATAN2(COS(C82)-SIN($D$37)*SIN(D82),SIN($C$58)*SIN(C82)*COS($D$37)),$E$40+ATAN2(COS(ABS(I82)*SIN($B$69)/SIN($B$70)/$B$30)-SIN($D$40)*SIN(D82),SIN($C$62)*SIN(ABS(I82)*SIN($B$69)/SIN($B$70)/$B$30)*COS($D$40)))</f>
        <v>0.18797639881518169</v>
      </c>
      <c r="F82" s="14">
        <f t="shared" si="11"/>
        <v>45.865430061910274</v>
      </c>
      <c r="G82" s="14">
        <f t="shared" si="11"/>
        <v>10.770254300177879</v>
      </c>
      <c r="H82" s="39">
        <f t="shared" si="19"/>
        <v>34.9529741609593</v>
      </c>
      <c r="I82" s="39">
        <f>$E$58-H82</f>
        <v>412.80214218702503</v>
      </c>
      <c r="J82" s="20"/>
      <c r="K82" s="14">
        <f>IF(ROTTE!C132&lt;&gt;"",LN(TAN(D82/2+PI()/4)/TAN($D$77/2+PI()/4)),"")</f>
        <v>6.106359871728462E-5</v>
      </c>
      <c r="L82" s="14">
        <f>IF(ROTTE!D132&lt;&gt;"",E82-$E$77,"")</f>
        <v>3.7747763157403025E-5</v>
      </c>
      <c r="M82" s="14">
        <f t="shared" si="13"/>
        <v>1.0171226270191782</v>
      </c>
      <c r="N82" s="70">
        <f t="shared" si="14"/>
        <v>58.276833775457902</v>
      </c>
      <c r="O82" s="39">
        <f t="shared" si="15"/>
        <v>318.58288789144586</v>
      </c>
      <c r="P82" s="20">
        <f t="shared" si="18"/>
        <v>32</v>
      </c>
      <c r="Q82" s="39">
        <f t="shared" si="16"/>
        <v>167.51585678220124</v>
      </c>
      <c r="R82" s="39">
        <f t="shared" si="17"/>
        <v>270.98615127673702</v>
      </c>
      <c r="S82" s="39"/>
      <c r="T82" s="39">
        <f t="shared" si="12"/>
        <v>17.476793293096385</v>
      </c>
      <c r="V82" s="20"/>
      <c r="W82" s="20"/>
      <c r="X82" s="20"/>
      <c r="Y82" s="20"/>
      <c r="Z82" s="20"/>
      <c r="AA82" s="20"/>
      <c r="AB82" s="20"/>
      <c r="AC82" s="20"/>
      <c r="AD82" s="20"/>
    </row>
    <row r="83" spans="1:30" s="22" customFormat="1">
      <c r="A83" s="20">
        <f>A82</f>
        <v>3</v>
      </c>
      <c r="B83" s="20">
        <v>7</v>
      </c>
      <c r="C83" s="80">
        <f>$B$66*(A83-1)/$B$30</f>
        <v>5.3415330932744235E-6</v>
      </c>
      <c r="D83" s="70">
        <f>IF(I83&gt;=0,ASIN(SIN($D$38)*COS(C83)+COS($D$38)*SIN(C83)*COS($C$50)),ASIN(SIN($D$39)*COS(ABS(I83)*SIN($B$71)/SIN($B$72)/$B$30)+COS($D$39)*SIN(ABS(I83)*SIN($B$71)/SIN($B$72)/$B$30)*COS($C$54)))</f>
        <v>0.8004747298080267</v>
      </c>
      <c r="E83" s="70">
        <f>IF(I83&gt;=0,$E$38+ATAN2(COS(C83)-SIN($D$38)*SIN(D83),SIN($C$50)*SIN(C83)*COS($D$38)),$E$39+ATAN2(COS(ABS(I83)*SIN($B$71)/SIN($B$72)/$B$30)-SIN($D$39)*SIN(D83),SIN($C$54)*SIN(ABS(I83)*SIN($B$71)/SIN($B$72)/$B$30)*COS($D$39)))</f>
        <v>0.18795134581210377</v>
      </c>
      <c r="F83" s="14">
        <f t="shared" si="11"/>
        <v>45.863823624874847</v>
      </c>
      <c r="G83" s="14">
        <f t="shared" si="11"/>
        <v>10.768818868837386</v>
      </c>
      <c r="H83" s="39">
        <f t="shared" si="19"/>
        <v>34.040509041895504</v>
      </c>
      <c r="I83" s="39">
        <f>$E$50-H83</f>
        <v>420.54347144370962</v>
      </c>
      <c r="J83" s="20"/>
      <c r="K83" s="14">
        <f>IF(ROTTE!C133&lt;&gt;"",LN(TAN(D83/2+PI()/4)/TAN($D$77/2+PI()/4)),"")</f>
        <v>2.0800263989394364E-5</v>
      </c>
      <c r="L83" s="14">
        <f>IF(ROTTE!D133&lt;&gt;"",E83-$E$77,"")</f>
        <v>1.2694760079479117E-5</v>
      </c>
      <c r="M83" s="14">
        <f t="shared" si="13"/>
        <v>1.0228251250817295</v>
      </c>
      <c r="N83" s="70">
        <f t="shared" si="14"/>
        <v>58.603562847123627</v>
      </c>
      <c r="O83" s="39">
        <f t="shared" si="15"/>
        <v>108.14192692474016</v>
      </c>
      <c r="P83" s="20">
        <f t="shared" si="18"/>
        <v>33</v>
      </c>
      <c r="Q83" s="39">
        <f t="shared" si="16"/>
        <v>56.33724560785403</v>
      </c>
      <c r="R83" s="39">
        <f t="shared" si="17"/>
        <v>92.308131366181243</v>
      </c>
      <c r="S83" s="39"/>
      <c r="T83" s="39">
        <f t="shared" si="12"/>
        <v>210.44362281098861</v>
      </c>
      <c r="V83" s="20"/>
      <c r="W83" s="20"/>
      <c r="X83" s="20"/>
      <c r="Y83" s="20"/>
      <c r="Z83" s="20"/>
      <c r="AA83" s="20"/>
      <c r="AB83" s="20"/>
      <c r="AC83" s="20"/>
      <c r="AD83" s="20"/>
    </row>
    <row r="84" spans="1:30" s="22" customFormat="1">
      <c r="A84" s="20">
        <f>A82+1</f>
        <v>4</v>
      </c>
      <c r="B84" s="20">
        <v>8</v>
      </c>
      <c r="C84" s="80">
        <f>$B$66*(A84-1)/$B$30</f>
        <v>8.0122996399116349E-6</v>
      </c>
      <c r="D84" s="70">
        <f>IF(I84&gt;=0,ASIN(SIN($D$38)*COS(C84)+COS($D$38)*SIN(C84)*COS($C$50)),ASIN(SIN($D$39)*COS(ABS(I84)*SIN($B$71)/SIN($B$72)/$B$30)+COS($D$39)*SIN(ABS(I84)*SIN($B$71)/SIN($B$72)/$B$30)*COS($C$54)))</f>
        <v>0.80047343109728109</v>
      </c>
      <c r="E84" s="70">
        <f>IF(I84&gt;=0,$E$38+ATAN2(COS(C84)-SIN($D$38)*SIN(D84),SIN($C$50)*SIN(C84)*COS($D$38)),$E$39+ATAN2(COS(ABS(I84)*SIN($B$71)/SIN($B$72)/$B$30)-SIN($D$39)*SIN(D84),SIN($C$54)*SIN(ABS(I84)*SIN($B$71)/SIN($B$72)/$B$30)*COS($D$39)))</f>
        <v>0.18795469712246032</v>
      </c>
      <c r="F84" s="14">
        <f t="shared" si="11"/>
        <v>45.86374921423031</v>
      </c>
      <c r="G84" s="14">
        <f t="shared" si="11"/>
        <v>10.769010884776655</v>
      </c>
      <c r="H84" s="39">
        <f t="shared" si="19"/>
        <v>51.060763562843256</v>
      </c>
      <c r="I84" s="39">
        <f>$E$50-H84</f>
        <v>403.52321692276189</v>
      </c>
      <c r="J84" s="20"/>
      <c r="K84" s="14">
        <f>IF(ROTTE!C134&lt;&gt;"",LN(TAN(D84/2+PI()/4)/TAN($D$77/2+PI()/4)),"")</f>
        <v>1.89352824618884E-5</v>
      </c>
      <c r="L84" s="14">
        <f>IF(ROTTE!D134&lt;&gt;"",E84-$E$77,"")</f>
        <v>1.6046070436037674E-5</v>
      </c>
      <c r="M84" s="14">
        <f t="shared" si="13"/>
        <v>0.86780404174789139</v>
      </c>
      <c r="N84" s="70">
        <f t="shared" si="14"/>
        <v>49.721509036548873</v>
      </c>
      <c r="O84" s="39">
        <f t="shared" si="15"/>
        <v>110.14611104667188</v>
      </c>
      <c r="P84" s="20">
        <f t="shared" si="18"/>
        <v>34</v>
      </c>
      <c r="Q84" s="39">
        <f t="shared" si="16"/>
        <v>71.209838105595523</v>
      </c>
      <c r="R84" s="39">
        <f t="shared" si="17"/>
        <v>84.031688877950373</v>
      </c>
      <c r="S84" s="39"/>
      <c r="T84" s="39">
        <f t="shared" si="12"/>
        <v>17.020385068055003</v>
      </c>
      <c r="V84" s="20"/>
      <c r="W84" s="20"/>
      <c r="X84" s="20"/>
      <c r="Y84" s="20"/>
      <c r="Z84" s="20"/>
      <c r="AA84" s="20"/>
      <c r="AB84" s="20"/>
      <c r="AC84" s="20"/>
      <c r="AD84" s="20"/>
    </row>
    <row r="85" spans="1:30" s="22" customFormat="1">
      <c r="A85" s="20">
        <f>A84</f>
        <v>4</v>
      </c>
      <c r="B85" s="20">
        <v>9</v>
      </c>
      <c r="C85" s="80">
        <f>$B$68*(A85-1)/$B$30</f>
        <v>8.2270715146773394E-6</v>
      </c>
      <c r="D85" s="70">
        <f>IF(I85&gt;=0,ASIN(SIN($D$37)*COS(C85)+COS($D$37)*SIN(C85)*COS($C$58)),ASIN(SIN($D$40)*COS(ABS(I85)*SIN($B$69)/SIN($B$70)/$B$30)+COS($D$40)*SIN(ABS(I85)*SIN($B$69)/SIN($B$70)/$B$30)*COS($C$62)))</f>
        <v>0.80050081812222895</v>
      </c>
      <c r="E85" s="70">
        <f>IF(I85&gt;=0,$E$37+ATAN2(COS(C85)-SIN($D$37)*SIN(D85),SIN($C$58)*SIN(C85)*COS($D$37)),$E$40+ATAN2(COS(ABS(I85)*SIN($B$69)/SIN($B$70)/$B$30)-SIN($D$40)*SIN(D85),SIN($C$62)*SIN(ABS(I85)*SIN($B$69)/SIN($B$70)/$B$30)*COS($D$40)))</f>
        <v>0.18797916887784732</v>
      </c>
      <c r="F85" s="14">
        <f t="shared" si="11"/>
        <v>45.865318375173246</v>
      </c>
      <c r="G85" s="14">
        <f t="shared" si="11"/>
        <v>10.770413013077606</v>
      </c>
      <c r="H85" s="39">
        <f t="shared" si="19"/>
        <v>52.42946124143895</v>
      </c>
      <c r="I85" s="39">
        <f>$E$58-H85</f>
        <v>395.32565510654536</v>
      </c>
      <c r="J85" s="20"/>
      <c r="K85" s="14">
        <f>IF(ROTTE!C135&lt;&gt;"",LN(TAN(D85/2+PI()/4)/TAN($D$77/2+PI()/4)),"")</f>
        <v>5.8264272733885277E-5</v>
      </c>
      <c r="L85" s="14">
        <f>IF(ROTTE!D135&lt;&gt;"",E85-$E$77,"")</f>
        <v>4.0517825823038756E-5</v>
      </c>
      <c r="M85" s="14">
        <f t="shared" si="13"/>
        <v>0.96315444718467724</v>
      </c>
      <c r="N85" s="70">
        <f t="shared" si="14"/>
        <v>55.184684842937962</v>
      </c>
      <c r="O85" s="39">
        <f t="shared" si="15"/>
        <v>314.93874033203912</v>
      </c>
      <c r="P85" s="20">
        <f t="shared" si="18"/>
        <v>35</v>
      </c>
      <c r="Q85" s="39">
        <f t="shared" si="16"/>
        <v>179.80893256006013</v>
      </c>
      <c r="R85" s="39">
        <f t="shared" si="17"/>
        <v>258.56364387427578</v>
      </c>
      <c r="S85" s="39"/>
      <c r="T85" s="39">
        <f t="shared" si="12"/>
        <v>205.56061546699328</v>
      </c>
      <c r="V85" s="20"/>
      <c r="W85" s="20"/>
      <c r="X85" s="20"/>
      <c r="Y85" s="20"/>
      <c r="Z85" s="20"/>
      <c r="AA85" s="20"/>
      <c r="AB85" s="20"/>
      <c r="AC85" s="20"/>
      <c r="AD85" s="20"/>
    </row>
    <row r="86" spans="1:30" s="22" customFormat="1">
      <c r="A86" s="20">
        <f>A84+1</f>
        <v>5</v>
      </c>
      <c r="B86" s="20">
        <v>10</v>
      </c>
      <c r="C86" s="80">
        <f>$B$68*(A86-1)/$B$30</f>
        <v>1.0969428686236451E-5</v>
      </c>
      <c r="D86" s="70">
        <f>IF(I86&gt;=0,ASIN(SIN($D$37)*COS(C86)+COS($D$37)*SIN(C86)*COS($C$58)),ASIN(SIN($D$40)*COS(ABS(I86)*SIN($B$69)/SIN($B$70)/$B$30)+COS($D$40)*SIN(ABS(I86)*SIN($B$69)/SIN($B$70)/$B$30)*COS($C$62)))</f>
        <v>0.80049886881710186</v>
      </c>
      <c r="E86" s="70">
        <f>IF(I86&gt;=0,$E$37+ATAN2(COS(C86)-SIN($D$37)*SIN(D86),SIN($C$58)*SIN(C86)*COS($D$37)),$E$40+ATAN2(COS(ABS(I86)*SIN($B$69)/SIN($B$70)/$B$30)-SIN($D$40)*SIN(D86),SIN($C$62)*SIN(ABS(I86)*SIN($B$69)/SIN($B$70)/$B$30)*COS($D$40)))</f>
        <v>0.18798193892938236</v>
      </c>
      <c r="F86" s="14">
        <f t="shared" si="11"/>
        <v>45.865206688216482</v>
      </c>
      <c r="G86" s="14">
        <f t="shared" si="11"/>
        <v>10.770571725339599</v>
      </c>
      <c r="H86" s="39">
        <f t="shared" si="19"/>
        <v>69.905948321918601</v>
      </c>
      <c r="I86" s="39">
        <f>$E$58-H86</f>
        <v>377.84916802606574</v>
      </c>
      <c r="J86" s="20"/>
      <c r="K86" s="14">
        <f>IF(ROTTE!C136&lt;&gt;"",LN(TAN(D86/2+PI()/4)/TAN($D$77/2+PI()/4)),"")</f>
        <v>5.5464946866990586E-5</v>
      </c>
      <c r="L86" s="14">
        <f>IF(ROTTE!D136&lt;&gt;"",E86-$E$77,"")</f>
        <v>4.3287877358078042E-5</v>
      </c>
      <c r="M86" s="14">
        <f t="shared" si="13"/>
        <v>0.90808740441805469</v>
      </c>
      <c r="N86" s="70">
        <f t="shared" si="14"/>
        <v>52.029575702144079</v>
      </c>
      <c r="O86" s="39">
        <f t="shared" si="15"/>
        <v>312.23167751029598</v>
      </c>
      <c r="P86" s="20">
        <f t="shared" si="18"/>
        <v>36</v>
      </c>
      <c r="Q86" s="39">
        <f t="shared" si="16"/>
        <v>192.10198440449278</v>
      </c>
      <c r="R86" s="39">
        <f t="shared" si="17"/>
        <v>246.141114056042</v>
      </c>
      <c r="S86" s="39"/>
      <c r="T86" s="39">
        <f t="shared" si="12"/>
        <v>17.476795207783852</v>
      </c>
      <c r="V86" s="20"/>
      <c r="W86" s="20"/>
      <c r="X86" s="20"/>
      <c r="Y86" s="20"/>
      <c r="Z86" s="20"/>
      <c r="AA86" s="20"/>
      <c r="AB86" s="20"/>
      <c r="AC86" s="20"/>
      <c r="AD86" s="20"/>
    </row>
    <row r="87" spans="1:30" s="22" customFormat="1">
      <c r="A87" s="20">
        <f>A86</f>
        <v>5</v>
      </c>
      <c r="B87" s="20">
        <v>11</v>
      </c>
      <c r="C87" s="80">
        <f>$B$66*(A87-1)/$B$30</f>
        <v>1.0683066186548847E-5</v>
      </c>
      <c r="D87" s="70">
        <f>IF(I87&gt;=0,ASIN(SIN($D$38)*COS(C87)+COS($D$38)*SIN(C87)*COS($C$50)),ASIN(SIN($D$39)*COS(ABS(I87)*SIN($B$71)/SIN($B$72)/$B$30)+COS($D$39)*SIN(ABS(I87)*SIN($B$71)/SIN($B$72)/$B$30)*COS($C$54)))</f>
        <v>0.8004721323809223</v>
      </c>
      <c r="E87" s="70">
        <f>IF(I87&gt;=0,$E$38+ATAN2(COS(C87)-SIN($D$38)*SIN(D87),SIN($C$50)*SIN(C87)*COS($D$38)),$E$39+ATAN2(COS(ABS(I87)*SIN($B$71)/SIN($B$72)/$B$30)-SIN($D$39)*SIN(D87),SIN($C$54)*SIN(ABS(I87)*SIN($B$71)/SIN($B$72)/$B$30)*COS($D$39)))</f>
        <v>0.18795804842384564</v>
      </c>
      <c r="F87" s="14">
        <f t="shared" si="11"/>
        <v>45.863674803264168</v>
      </c>
      <c r="G87" s="14">
        <f t="shared" si="11"/>
        <v>10.769202900201909</v>
      </c>
      <c r="H87" s="39">
        <f t="shared" si="19"/>
        <v>68.081018083791008</v>
      </c>
      <c r="I87" s="39">
        <f>$E$50-H87</f>
        <v>386.5029624018141</v>
      </c>
      <c r="J87" s="20"/>
      <c r="K87" s="14">
        <f>IF(ROTTE!C137&lt;&gt;"",LN(TAN(D87/2+PI()/4)/TAN($D$77/2+PI()/4)),"")</f>
        <v>1.7070295369924355E-5</v>
      </c>
      <c r="L87" s="14">
        <f>IF(ROTTE!D137&lt;&gt;"",E87-$E$77,"")</f>
        <v>1.9397371821355813E-5</v>
      </c>
      <c r="M87" s="14">
        <f t="shared" si="13"/>
        <v>0.72167252026353357</v>
      </c>
      <c r="N87" s="70">
        <f t="shared" si="14"/>
        <v>41.348789601669857</v>
      </c>
      <c r="O87" s="39">
        <f t="shared" si="15"/>
        <v>114.66930137016408</v>
      </c>
      <c r="P87" s="20">
        <f t="shared" si="18"/>
        <v>37</v>
      </c>
      <c r="Q87" s="39">
        <f t="shared" si="16"/>
        <v>86.082455978207321</v>
      </c>
      <c r="R87" s="39">
        <f t="shared" si="17"/>
        <v>75.755260209978246</v>
      </c>
      <c r="S87" s="39"/>
      <c r="T87" s="39">
        <f t="shared" si="12"/>
        <v>200.67755130702625</v>
      </c>
      <c r="V87" s="20"/>
      <c r="W87" s="20"/>
      <c r="X87" s="20"/>
      <c r="Y87" s="20"/>
      <c r="Z87" s="20"/>
      <c r="AA87" s="20"/>
      <c r="AB87" s="20"/>
      <c r="AC87" s="20"/>
      <c r="AD87" s="20"/>
    </row>
    <row r="88" spans="1:30" s="22" customFormat="1">
      <c r="A88" s="20">
        <f>A86+1</f>
        <v>6</v>
      </c>
      <c r="B88" s="20">
        <v>12</v>
      </c>
      <c r="C88" s="80">
        <f>$B$66*(A88-1)/$B$30</f>
        <v>1.3353832733186059E-5</v>
      </c>
      <c r="D88" s="70">
        <f>IF(I88&gt;=0,ASIN(SIN($D$38)*COS(C88)+COS($D$38)*SIN(C88)*COS($C$50)),ASIN(SIN($D$39)*COS(ABS(I88)*SIN($B$71)/SIN($B$72)/$B$30)+COS($D$39)*SIN(ABS(I88)*SIN($B$71)/SIN($B$72)/$B$30)*COS($C$54)))</f>
        <v>0.80047083365895022</v>
      </c>
      <c r="E88" s="70">
        <f>IF(I88&gt;=0,$E$38+ATAN2(COS(C88)-SIN($D$38)*SIN(D88),SIN($C$50)*SIN(C88)*COS($D$38)),$E$39+ATAN2(COS(ABS(I88)*SIN($B$71)/SIN($B$72)/$B$30)-SIN($D$39)*SIN(D88),SIN($C$54)*SIN(ABS(I88)*SIN($B$71)/SIN($B$72)/$B$30)*COS($D$39)))</f>
        <v>0.18796139971625969</v>
      </c>
      <c r="F88" s="14">
        <f t="shared" si="11"/>
        <v>45.863600391976405</v>
      </c>
      <c r="G88" s="14">
        <f t="shared" si="11"/>
        <v>10.76939491511315</v>
      </c>
      <c r="H88" s="39">
        <f t="shared" si="19"/>
        <v>85.101272604738767</v>
      </c>
      <c r="I88" s="39">
        <f>$E$50-H88</f>
        <v>369.48270788086637</v>
      </c>
      <c r="J88" s="20"/>
      <c r="K88" s="14">
        <f>IF(ROTTE!C138&lt;&gt;"",LN(TAN(D88/2+PI()/4)/TAN($D$77/2+PI()/4)),"")</f>
        <v>1.5205302713477588E-5</v>
      </c>
      <c r="L88" s="14">
        <f>IF(ROTTE!D138&lt;&gt;"",E88-$E$77,"")</f>
        <v>2.274866423540578E-5</v>
      </c>
      <c r="M88" s="14">
        <f t="shared" si="13"/>
        <v>0.58920454659813193</v>
      </c>
      <c r="N88" s="70">
        <f t="shared" si="14"/>
        <v>33.758933789992206</v>
      </c>
      <c r="O88" s="39">
        <f t="shared" si="15"/>
        <v>121.43018151213731</v>
      </c>
      <c r="P88" s="20">
        <f t="shared" si="18"/>
        <v>38</v>
      </c>
      <c r="Q88" s="39">
        <f t="shared" si="16"/>
        <v>100.95498561312498</v>
      </c>
      <c r="R88" s="39">
        <f t="shared" si="17"/>
        <v>67.478736368757993</v>
      </c>
      <c r="S88" s="39"/>
      <c r="T88" s="39">
        <f t="shared" si="12"/>
        <v>17.020369697388809</v>
      </c>
      <c r="V88" s="20"/>
      <c r="W88" s="20"/>
      <c r="X88" s="20"/>
      <c r="Y88" s="20"/>
      <c r="Z88" s="20"/>
      <c r="AA88" s="20"/>
      <c r="AB88" s="20"/>
      <c r="AC88" s="20"/>
      <c r="AD88" s="20"/>
    </row>
    <row r="89" spans="1:30" s="22" customFormat="1">
      <c r="A89" s="20">
        <f>A88</f>
        <v>6</v>
      </c>
      <c r="B89" s="20">
        <v>13</v>
      </c>
      <c r="C89" s="80">
        <f>$B$68*(A89-1)/$B$30</f>
        <v>1.3711785857795563E-5</v>
      </c>
      <c r="D89" s="70">
        <f>IF(I89&gt;=0,ASIN(SIN($D$37)*COS(C89)+COS($D$37)*SIN(C89)*COS($C$58)),ASIN(SIN($D$40)*COS(ABS(I89)*SIN($B$69)/SIN($B$70)/$B$30)+COS($D$40)*SIN(ABS(I89)*SIN($B$69)/SIN($B$70)/$B$30)*COS($C$62)))</f>
        <v>0.80049691950813995</v>
      </c>
      <c r="E89" s="70">
        <f>IF(I89&gt;=0,$E$37+ATAN2(COS(C89)-SIN($D$37)*SIN(D89),SIN($C$58)*SIN(C89)*COS($D$37)),$E$40+ATAN2(COS(ABS(I89)*SIN($B$69)/SIN($B$70)/$B$30)-SIN($D$40)*SIN(D89),SIN($C$62)*SIN(ABS(I89)*SIN($B$69)/SIN($B$70)/$B$30)*COS($D$40)))</f>
        <v>0.18798470896978689</v>
      </c>
      <c r="F89" s="14">
        <f t="shared" si="11"/>
        <v>45.86509500103999</v>
      </c>
      <c r="G89" s="14">
        <f t="shared" si="11"/>
        <v>10.770730436963859</v>
      </c>
      <c r="H89" s="39">
        <f t="shared" si="19"/>
        <v>87.382435402398244</v>
      </c>
      <c r="I89" s="39">
        <f>$E$58-H89</f>
        <v>360.37268094558607</v>
      </c>
      <c r="J89" s="20"/>
      <c r="K89" s="14">
        <f>IF(ROTTE!C139&lt;&gt;"",LN(TAN(D89/2+PI()/4)/TAN($D$77/2+PI()/4)),"")</f>
        <v>5.2665621116845488E-5</v>
      </c>
      <c r="L89" s="14">
        <f>IF(ROTTE!D139&lt;&gt;"",E89-$E$77,"")</f>
        <v>4.605791776260415E-5</v>
      </c>
      <c r="M89" s="14">
        <f t="shared" si="13"/>
        <v>0.85222987121331706</v>
      </c>
      <c r="N89" s="70">
        <f t="shared" si="14"/>
        <v>48.829174795500755</v>
      </c>
      <c r="O89" s="39">
        <f t="shared" si="15"/>
        <v>310.48622563688673</v>
      </c>
      <c r="P89" s="20">
        <f t="shared" si="18"/>
        <v>39</v>
      </c>
      <c r="Q89" s="39">
        <f t="shared" si="16"/>
        <v>204.39502222361347</v>
      </c>
      <c r="R89" s="39">
        <f t="shared" si="17"/>
        <v>233.71857264763597</v>
      </c>
      <c r="S89" s="39"/>
      <c r="T89" s="39">
        <f t="shared" si="12"/>
        <v>195.79459732078246</v>
      </c>
      <c r="V89" s="20"/>
      <c r="W89" s="20"/>
      <c r="X89" s="20"/>
      <c r="Y89" s="20"/>
      <c r="Z89" s="20"/>
      <c r="AA89" s="20"/>
      <c r="AB89" s="20"/>
      <c r="AC89" s="20"/>
      <c r="AD89" s="20"/>
    </row>
    <row r="90" spans="1:30" s="22" customFormat="1">
      <c r="A90" s="20">
        <f>A88+1</f>
        <v>7</v>
      </c>
      <c r="B90" s="20">
        <v>14</v>
      </c>
      <c r="C90" s="80">
        <f>$B$68*(A90-1)/$B$30</f>
        <v>1.6454143029354679E-5</v>
      </c>
      <c r="D90" s="70">
        <f>IF(I90&gt;=0,ASIN(SIN($D$37)*COS(C90)+COS($D$37)*SIN(C90)*COS($C$58)),ASIN(SIN($D$40)*COS(ABS(I90)*SIN($B$69)/SIN($B$70)/$B$30)+COS($D$40)*SIN(ABS(I90)*SIN($B$69)/SIN($B$70)/$B$30)*COS($C$62)))</f>
        <v>0.80049497019534344</v>
      </c>
      <c r="E90" s="70">
        <f>IF(I90&gt;=0,$E$37+ATAN2(COS(C90)-SIN($D$37)*SIN(D90),SIN($C$58)*SIN(C90)*COS($D$37)),$E$40+ATAN2(COS(ABS(I90)*SIN($B$69)/SIN($B$70)/$B$30)-SIN($D$40)*SIN(D90),SIN($C$62)*SIN(ABS(I90)*SIN($B$69)/SIN($B$70)/$B$30)*COS($D$40)))</f>
        <v>0.18798747899906096</v>
      </c>
      <c r="F90" s="14">
        <f t="shared" si="11"/>
        <v>45.864983313643805</v>
      </c>
      <c r="G90" s="14">
        <f t="shared" si="11"/>
        <v>10.770889147950392</v>
      </c>
      <c r="H90" s="39">
        <f t="shared" si="19"/>
        <v>104.8589224828779</v>
      </c>
      <c r="I90" s="39">
        <f>$E$58-H90</f>
        <v>342.8961938651064</v>
      </c>
      <c r="J90" s="20"/>
      <c r="K90" s="14">
        <f>IF(ROTTE!C140&lt;&gt;"",LN(TAN(D90/2+PI()/4)/TAN($D$77/2+PI()/4)),"")</f>
        <v>4.9866295484361046E-5</v>
      </c>
      <c r="L90" s="14">
        <f>IF(ROTTE!D140&lt;&gt;"",E90-$E$77,"")</f>
        <v>4.8827947036672592E-5</v>
      </c>
      <c r="M90" s="14">
        <f t="shared" si="13"/>
        <v>0.7959186366553016</v>
      </c>
      <c r="N90" s="70">
        <f t="shared" si="14"/>
        <v>45.602778716155242</v>
      </c>
      <c r="O90" s="39">
        <f t="shared" si="15"/>
        <v>309.71859924487245</v>
      </c>
      <c r="P90" s="20">
        <f t="shared" si="18"/>
        <v>40</v>
      </c>
      <c r="Q90" s="39">
        <f t="shared" si="16"/>
        <v>216.68801766509281</v>
      </c>
      <c r="R90" s="39">
        <f t="shared" si="17"/>
        <v>221.29598667526335</v>
      </c>
      <c r="S90" s="39"/>
      <c r="T90" s="39">
        <f t="shared" si="12"/>
        <v>17.476795448972357</v>
      </c>
      <c r="V90" s="20"/>
      <c r="W90" s="20"/>
      <c r="X90" s="20"/>
      <c r="Y90" s="20"/>
      <c r="Z90" s="20"/>
      <c r="AA90" s="20"/>
      <c r="AB90" s="20"/>
      <c r="AC90" s="20"/>
      <c r="AD90" s="20"/>
    </row>
    <row r="91" spans="1:30" s="22" customFormat="1">
      <c r="A91" s="20">
        <f>A90</f>
        <v>7</v>
      </c>
      <c r="B91" s="20">
        <v>15</v>
      </c>
      <c r="C91" s="80">
        <f>$B$66*(A91-1)/$B$30</f>
        <v>1.602459927982327E-5</v>
      </c>
      <c r="D91" s="70">
        <f>IF(I91&gt;=0,ASIN(SIN($D$38)*COS(C91)+COS($D$38)*SIN(C91)*COS($C$50)),ASIN(SIN($D$39)*COS(ABS(I91)*SIN($B$71)/SIN($B$72)/$B$30)+COS($D$39)*SIN(ABS(I91)*SIN($B$71)/SIN($B$72)/$B$30)*COS($C$54)))</f>
        <v>0.80046953493136552</v>
      </c>
      <c r="E91" s="70">
        <f>IF(I91&gt;=0,$E$38+ATAN2(COS(C91)-SIN($D$38)*SIN(D91),SIN($C$50)*SIN(C91)*COS($D$38)),$E$39+ATAN2(COS(ABS(I91)*SIN($B$71)/SIN($B$72)/$B$30)-SIN($D$39)*SIN(D91),SIN($C$54)*SIN(ABS(I91)*SIN($B$71)/SIN($B$72)/$B$30)*COS($D$39)))</f>
        <v>0.18796475099970247</v>
      </c>
      <c r="F91" s="14">
        <f t="shared" si="11"/>
        <v>45.863525980367065</v>
      </c>
      <c r="G91" s="14">
        <f t="shared" si="11"/>
        <v>10.769586929510373</v>
      </c>
      <c r="H91" s="39">
        <f t="shared" si="19"/>
        <v>102.12152712568651</v>
      </c>
      <c r="I91" s="39">
        <f>$E$50-H91</f>
        <v>352.46245335991864</v>
      </c>
      <c r="J91" s="20"/>
      <c r="K91" s="14">
        <f>IF(ROTTE!C141&lt;&gt;"",LN(TAN(D91/2+PI()/4)/TAN($D$77/2+PI()/4)),"")</f>
        <v>1.33403044938557E-5</v>
      </c>
      <c r="L91" s="14">
        <f>IF(ROTTE!D141&lt;&gt;"",E91-$E$77,"")</f>
        <v>2.6099947678187574E-5</v>
      </c>
      <c r="M91" s="14">
        <f t="shared" si="13"/>
        <v>0.47250699787929012</v>
      </c>
      <c r="N91" s="70">
        <f t="shared" si="14"/>
        <v>27.072656768880265</v>
      </c>
      <c r="O91" s="39">
        <f t="shared" si="15"/>
        <v>130.08044728435166</v>
      </c>
      <c r="P91" s="20">
        <f t="shared" si="18"/>
        <v>41</v>
      </c>
      <c r="Q91" s="39">
        <f t="shared" si="16"/>
        <v>115.82754602929033</v>
      </c>
      <c r="R91" s="39">
        <f t="shared" si="17"/>
        <v>59.202215723143517</v>
      </c>
      <c r="S91" s="39"/>
      <c r="T91" s="39">
        <f t="shared" si="12"/>
        <v>190.91156413395916</v>
      </c>
      <c r="V91" s="20"/>
      <c r="W91" s="20"/>
      <c r="X91" s="20"/>
      <c r="Y91" s="20"/>
      <c r="Z91" s="20"/>
      <c r="AA91" s="20"/>
      <c r="AB91" s="20"/>
      <c r="AC91" s="20"/>
      <c r="AD91" s="20"/>
    </row>
    <row r="92" spans="1:30" s="22" customFormat="1">
      <c r="A92" s="20">
        <f>A90+1</f>
        <v>8</v>
      </c>
      <c r="B92" s="20">
        <v>16</v>
      </c>
      <c r="C92" s="80">
        <f>$B$66*(A92-1)/$B$30</f>
        <v>1.869536582646048E-5</v>
      </c>
      <c r="D92" s="70">
        <f>IF(I92&gt;=0,ASIN(SIN($D$38)*COS(C92)+COS($D$38)*SIN(C92)*COS($C$50)),ASIN(SIN($D$39)*COS(ABS(I92)*SIN($B$71)/SIN($B$72)/$B$30)+COS($D$39)*SIN(ABS(I92)*SIN($B$71)/SIN($B$72)/$B$30)*COS($C$54)))</f>
        <v>0.80046823619816765</v>
      </c>
      <c r="E92" s="70">
        <f>IF(I92&gt;=0,$E$38+ATAN2(COS(C92)-SIN($D$38)*SIN(D92),SIN($C$50)*SIN(C92)*COS($D$38)),$E$39+ATAN2(COS(ABS(I92)*SIN($B$71)/SIN($B$72)/$B$30)-SIN($D$39)*SIN(D92),SIN($C$54)*SIN(ABS(I92)*SIN($B$71)/SIN($B$72)/$B$30)*COS($D$39)))</f>
        <v>0.18796810227417404</v>
      </c>
      <c r="F92" s="14">
        <f t="shared" si="11"/>
        <v>45.863451568436112</v>
      </c>
      <c r="G92" s="14">
        <f t="shared" si="11"/>
        <v>10.769778943393584</v>
      </c>
      <c r="H92" s="39">
        <f t="shared" si="19"/>
        <v>119.14178164663426</v>
      </c>
      <c r="I92" s="39">
        <f>$E$50-H92</f>
        <v>335.44219883897085</v>
      </c>
      <c r="J92" s="20"/>
      <c r="K92" s="14">
        <f>IF(ROTTE!C142&lt;&gt;"",LN(TAN(D92/2+PI()/4)/TAN($D$77/2+PI()/4)),"")</f>
        <v>1.1475300709479755E-5</v>
      </c>
      <c r="L92" s="14">
        <f>IF(ROTTE!D142&lt;&gt;"",E92-$E$77,"")</f>
        <v>2.9451222149756706E-5</v>
      </c>
      <c r="M92" s="14">
        <f t="shared" si="13"/>
        <v>0.37154139651869167</v>
      </c>
      <c r="N92" s="70">
        <f t="shared" si="14"/>
        <v>21.287753934917649</v>
      </c>
      <c r="O92" s="39">
        <f t="shared" si="15"/>
        <v>140.27092354525067</v>
      </c>
      <c r="P92" s="20">
        <f t="shared" si="18"/>
        <v>42</v>
      </c>
      <c r="Q92" s="39">
        <f t="shared" si="16"/>
        <v>130.70007648887338</v>
      </c>
      <c r="R92" s="39">
        <f t="shared" si="17"/>
        <v>50.925651670255618</v>
      </c>
      <c r="S92" s="39"/>
      <c r="T92" s="39">
        <f t="shared" si="12"/>
        <v>17.020389971818556</v>
      </c>
      <c r="V92" s="20"/>
      <c r="W92" s="20"/>
      <c r="X92" s="20"/>
      <c r="Y92" s="20"/>
      <c r="Z92" s="20"/>
      <c r="AA92" s="20"/>
      <c r="AB92" s="20"/>
      <c r="AC92" s="20"/>
      <c r="AD92" s="20"/>
    </row>
    <row r="93" spans="1:30" s="22" customFormat="1">
      <c r="A93" s="20">
        <f>A92</f>
        <v>8</v>
      </c>
      <c r="B93" s="20">
        <v>17</v>
      </c>
      <c r="C93" s="80">
        <f>$B$68*(A93-1)/$B$30</f>
        <v>1.9196500200913791E-5</v>
      </c>
      <c r="D93" s="70">
        <f>IF(I93&gt;=0,ASIN(SIN($D$37)*COS(C93)+COS($D$37)*SIN(C93)*COS($C$58)),ASIN(SIN($D$40)*COS(ABS(I93)*SIN($B$69)/SIN($B$70)/$B$30)+COS($D$40)*SIN(ABS(I93)*SIN($B$69)/SIN($B$70)/$B$30)*COS($C$62)))</f>
        <v>0.80049302087871188</v>
      </c>
      <c r="E93" s="70">
        <f>IF(I93&gt;=0,$E$37+ATAN2(COS(C93)-SIN($D$37)*SIN(D93),SIN($C$58)*SIN(C93)*COS($D$37)),$E$40+ATAN2(COS(ABS(I93)*SIN($B$69)/SIN($B$70)/$B$30)-SIN($D$40)*SIN(D93),SIN($C$62)*SIN(ABS(I93)*SIN($B$69)/SIN($B$70)/$B$30)*COS($D$40)))</f>
        <v>0.18799024901720462</v>
      </c>
      <c r="F93" s="14">
        <f t="shared" ref="F93:G108" si="20">D93*180/PI()</f>
        <v>45.864871626027877</v>
      </c>
      <c r="G93" s="14">
        <f t="shared" si="20"/>
        <v>10.771047858299196</v>
      </c>
      <c r="H93" s="39">
        <f t="shared" si="19"/>
        <v>122.33540956335754</v>
      </c>
      <c r="I93" s="39">
        <f>$E$58-H93</f>
        <v>325.41970678462678</v>
      </c>
      <c r="J93" s="20"/>
      <c r="K93" s="14">
        <f>IF(ROTTE!C143&lt;&gt;"",LN(TAN(D93/2+PI()/4)/TAN($D$77/2+PI()/4)),"")</f>
        <v>4.7066969969116108E-5</v>
      </c>
      <c r="L93" s="14">
        <f>IF(ROTTE!D143&lt;&gt;"",E93-$E$77,"")</f>
        <v>5.1597965180338878E-5</v>
      </c>
      <c r="M93" s="14">
        <f t="shared" si="13"/>
        <v>0.73950735072540286</v>
      </c>
      <c r="N93" s="70">
        <f t="shared" si="14"/>
        <v>42.370650115466319</v>
      </c>
      <c r="O93" s="39">
        <f t="shared" si="15"/>
        <v>309.93612202297788</v>
      </c>
      <c r="P93" s="20">
        <f t="shared" si="18"/>
        <v>43</v>
      </c>
      <c r="Q93" s="39">
        <f t="shared" si="16"/>
        <v>228.98101043985133</v>
      </c>
      <c r="R93" s="39">
        <f t="shared" si="17"/>
        <v>208.87339848000494</v>
      </c>
      <c r="S93" s="39"/>
      <c r="T93" s="39">
        <f t="shared" si="12"/>
        <v>186.02858033257462</v>
      </c>
      <c r="V93" s="20"/>
      <c r="W93" s="20"/>
      <c r="X93" s="20"/>
      <c r="Y93" s="20"/>
      <c r="Z93" s="20"/>
      <c r="AA93" s="20"/>
      <c r="AB93" s="20"/>
      <c r="AC93" s="20"/>
      <c r="AD93" s="20"/>
    </row>
    <row r="94" spans="1:30" s="22" customFormat="1">
      <c r="A94" s="20">
        <f>A92+1</f>
        <v>9</v>
      </c>
      <c r="B94" s="20">
        <v>18</v>
      </c>
      <c r="C94" s="80">
        <f>$B$68*(A94-1)/$B$30</f>
        <v>2.1938857372472903E-5</v>
      </c>
      <c r="D94" s="70">
        <f>IF(I94&gt;=0,ASIN(SIN($D$37)*COS(C94)+COS($D$37)*SIN(C94)*COS($C$58)),ASIN(SIN($D$40)*COS(ABS(I94)*SIN($B$69)/SIN($B$70)/$B$30)+COS($D$40)*SIN(ABS(I94)*SIN($B$69)/SIN($B$70)/$B$30)*COS($C$62)))</f>
        <v>0.80049107155824573</v>
      </c>
      <c r="E94" s="70">
        <f>IF(I94&gt;=0,$E$37+ATAN2(COS(C94)-SIN($D$37)*SIN(D94),SIN($C$58)*SIN(C94)*COS($D$37)),$E$40+ATAN2(COS(ABS(I94)*SIN($B$69)/SIN($B$70)/$B$30)-SIN($D$40)*SIN(D94),SIN($C$62)*SIN(ABS(I94)*SIN($B$69)/SIN($B$70)/$B$30)*COS($D$40)))</f>
        <v>0.187993019024218</v>
      </c>
      <c r="F94" s="14">
        <f t="shared" si="20"/>
        <v>45.86475993819225</v>
      </c>
      <c r="G94" s="14">
        <f t="shared" si="20"/>
        <v>10.771206568010284</v>
      </c>
      <c r="H94" s="39">
        <f t="shared" si="19"/>
        <v>139.8118966438372</v>
      </c>
      <c r="I94" s="39">
        <f>$E$58-H94</f>
        <v>307.94321970414711</v>
      </c>
      <c r="J94" s="20"/>
      <c r="K94" s="14">
        <f>IF(ROTTE!C144&lt;&gt;"",LN(TAN(D94/2+PI()/4)/TAN($D$77/2+PI()/4)),"")</f>
        <v>4.4267644570467491E-5</v>
      </c>
      <c r="L94" s="14">
        <f>IF(ROTTE!D144&lt;&gt;"",E94-$E$77,"")</f>
        <v>5.4367972193714031E-5</v>
      </c>
      <c r="M94" s="14">
        <f t="shared" si="13"/>
        <v>0.68335343626197398</v>
      </c>
      <c r="N94" s="70">
        <f t="shared" si="14"/>
        <v>39.153267813573216</v>
      </c>
      <c r="O94" s="39">
        <f t="shared" si="15"/>
        <v>311.13666979149298</v>
      </c>
      <c r="P94" s="20">
        <f t="shared" si="18"/>
        <v>44</v>
      </c>
      <c r="Q94" s="39">
        <f t="shared" si="16"/>
        <v>241.27395896658277</v>
      </c>
      <c r="R94" s="39">
        <f t="shared" si="17"/>
        <v>196.45076740377542</v>
      </c>
      <c r="S94" s="39"/>
      <c r="T94" s="39">
        <f t="shared" si="12"/>
        <v>17.476794509777015</v>
      </c>
      <c r="V94" s="20"/>
      <c r="W94" s="20"/>
      <c r="X94" s="20"/>
      <c r="Y94" s="20"/>
      <c r="Z94" s="20"/>
      <c r="AA94" s="20"/>
      <c r="AB94" s="20"/>
      <c r="AC94" s="20"/>
      <c r="AD94" s="20"/>
    </row>
    <row r="95" spans="1:30">
      <c r="A95" s="20">
        <f>A94</f>
        <v>9</v>
      </c>
      <c r="B95" s="20">
        <v>19</v>
      </c>
      <c r="C95" s="80">
        <f>$B$66*(A95-1)/$B$30</f>
        <v>2.1366132373097694E-5</v>
      </c>
      <c r="D95" s="70">
        <f>IF(I95&gt;=0,ASIN(SIN($D$38)*COS(C95)+COS($D$38)*SIN(C95)*COS($C$50)),ASIN(SIN($D$39)*COS(ABS(I95)*SIN($B$71)/SIN($B$72)/$B$30)+COS($D$39)*SIN(ABS(I95)*SIN($B$71)/SIN($B$72)/$B$30)*COS($C$54)))</f>
        <v>0.80046693745935682</v>
      </c>
      <c r="E95" s="70">
        <f>IF(I95&gt;=0,$E$38+ATAN2(COS(C95)-SIN($D$38)*SIN(D95),SIN($C$50)*SIN(C95)*COS($D$38)),$E$39+ATAN2(COS(ABS(I95)*SIN($B$71)/SIN($B$72)/$B$30)-SIN($D$39)*SIN(D95),SIN($C$54)*SIN(ABS(I95)*SIN($B$71)/SIN($B$72)/$B$30)*COS($D$39)))</f>
        <v>0.18797145353967437</v>
      </c>
      <c r="F95" s="14">
        <f t="shared" si="20"/>
        <v>45.86337715618356</v>
      </c>
      <c r="G95" s="14">
        <f t="shared" si="20"/>
        <v>10.76997095676278</v>
      </c>
      <c r="H95" s="39">
        <f t="shared" si="19"/>
        <v>136.16203616758202</v>
      </c>
      <c r="I95" s="39">
        <f>$E$50-H95</f>
        <v>318.42194431802312</v>
      </c>
      <c r="K95" s="14">
        <f>IF(ROTTE!C145&lt;&gt;"",LN(TAN(D95/2+PI()/4)/TAN($D$77/2+PI()/4)),"")</f>
        <v>9.6102913612132791E-6</v>
      </c>
      <c r="L95" s="14">
        <f>IF(ROTTE!D145&lt;&gt;"",E95-$E$77,"")</f>
        <v>3.2802487650085421E-5</v>
      </c>
      <c r="M95" s="14">
        <f t="shared" si="13"/>
        <v>0.28499895458546021</v>
      </c>
      <c r="N95" s="70">
        <f t="shared" si="14"/>
        <v>16.32923726338749</v>
      </c>
      <c r="O95" s="39">
        <f t="shared" si="15"/>
        <v>151.69145864471085</v>
      </c>
      <c r="P95" s="20">
        <f t="shared" si="18"/>
        <v>45</v>
      </c>
      <c r="Q95" s="39">
        <f t="shared" si="16"/>
        <v>145.57252048299242</v>
      </c>
      <c r="R95" s="39">
        <f t="shared" si="17"/>
        <v>42.649031712206195</v>
      </c>
      <c r="S95" s="39"/>
      <c r="T95" s="39">
        <f t="shared" si="12"/>
        <v>181.14562989365143</v>
      </c>
    </row>
    <row r="96" spans="1:30">
      <c r="A96" s="20">
        <f>A94+1</f>
        <v>10</v>
      </c>
      <c r="B96" s="20">
        <v>20</v>
      </c>
      <c r="C96" s="80">
        <f>$B$66*(A96-1)/$B$30</f>
        <v>2.4036898919734908E-5</v>
      </c>
      <c r="D96" s="70">
        <f>IF(I96&gt;=0,ASIN(SIN($D$38)*COS(C96)+COS($D$38)*SIN(C96)*COS($C$50)),ASIN(SIN($D$39)*COS(ABS(I96)*SIN($B$71)/SIN($B$72)/$B$30)+COS($D$39)*SIN(ABS(I96)*SIN($B$71)/SIN($B$72)/$B$30)*COS($C$54)))</f>
        <v>0.80046563871493293</v>
      </c>
      <c r="E96" s="70">
        <f>IF(I96&gt;=0,$E$38+ATAN2(COS(C96)-SIN($D$38)*SIN(D96),SIN($C$50)*SIN(C96)*COS($D$38)),$E$39+ATAN2(COS(ABS(I96)*SIN($B$71)/SIN($B$72)/$B$30)-SIN($D$39)*SIN(D96),SIN($C$54)*SIN(ABS(I96)*SIN($B$71)/SIN($B$72)/$B$30)*COS($D$39)))</f>
        <v>0.18797480479620349</v>
      </c>
      <c r="F96" s="14">
        <f t="shared" si="20"/>
        <v>45.86330274360941</v>
      </c>
      <c r="G96" s="14">
        <f t="shared" si="20"/>
        <v>10.770162969617965</v>
      </c>
      <c r="H96" s="39">
        <f t="shared" si="19"/>
        <v>153.18229068852978</v>
      </c>
      <c r="I96" s="39">
        <f>$E$50-H96</f>
        <v>301.40168979707539</v>
      </c>
      <c r="K96" s="14">
        <f>IF(ROTTE!C146&lt;&gt;"",LN(TAN(D96/2+PI()/4)/TAN($D$77/2+PI()/4)),"")</f>
        <v>7.7452764485875405E-6</v>
      </c>
      <c r="L96" s="14">
        <f>IF(ROTTE!D146&lt;&gt;"",E96-$E$77,"")</f>
        <v>3.6153744179201475E-5</v>
      </c>
      <c r="M96" s="14">
        <f t="shared" si="13"/>
        <v>0.21104164666290057</v>
      </c>
      <c r="N96" s="70">
        <f t="shared" si="14"/>
        <v>12.091795655275378</v>
      </c>
      <c r="O96" s="39">
        <f t="shared" si="15"/>
        <v>164.08557759185646</v>
      </c>
      <c r="P96" s="20">
        <f t="shared" si="18"/>
        <v>46</v>
      </c>
      <c r="Q96" s="39">
        <f t="shared" si="16"/>
        <v>160.44505069047844</v>
      </c>
      <c r="R96" s="39">
        <f t="shared" si="17"/>
        <v>34.372408739902852</v>
      </c>
      <c r="S96" s="39"/>
      <c r="T96" s="39">
        <f t="shared" si="12"/>
        <v>17.020418402561191</v>
      </c>
    </row>
    <row r="97" spans="1:30">
      <c r="A97" s="20">
        <f>A96</f>
        <v>10</v>
      </c>
      <c r="B97" s="20">
        <v>21</v>
      </c>
      <c r="C97" s="80">
        <f>$B$68*(A97-1)/$B$30</f>
        <v>2.4681214544032015E-5</v>
      </c>
      <c r="D97" s="70">
        <f>IF(I97&gt;=0,ASIN(SIN($D$37)*COS(C97)+COS($D$37)*SIN(C97)*COS($C$58)),ASIN(SIN($D$40)*COS(ABS(I97)*SIN($B$69)/SIN($B$70)/$B$30)+COS($D$40)*SIN(ABS(I97)*SIN($B$69)/SIN($B$70)/$B$30)*COS($C$62)))</f>
        <v>0.80048912223394497</v>
      </c>
      <c r="E97" s="70">
        <f>IF(I97&gt;=0,$E$37+ATAN2(COS(C97)-SIN($D$37)*SIN(D97),SIN($C$58)*SIN(C97)*COS($D$37)),$E$40+ATAN2(COS(ABS(I97)*SIN($B$69)/SIN($B$70)/$B$30)-SIN($D$40)*SIN(D97),SIN($C$62)*SIN(ABS(I97)*SIN($B$69)/SIN($B$70)/$B$30)*COS($D$40)))</f>
        <v>0.18799578902010108</v>
      </c>
      <c r="F97" s="14">
        <f t="shared" si="20"/>
        <v>45.864648250136916</v>
      </c>
      <c r="G97" s="14">
        <f t="shared" si="20"/>
        <v>10.771365277083655</v>
      </c>
      <c r="H97" s="39">
        <f t="shared" si="19"/>
        <v>157.28838372431684</v>
      </c>
      <c r="I97" s="39">
        <f>$E$58-H97</f>
        <v>290.46673262366744</v>
      </c>
      <c r="K97" s="14">
        <f>IF(ROTTE!C147&lt;&gt;"",LN(TAN(D97/2+PI()/4)/TAN($D$77/2+PI()/4)),"")</f>
        <v>4.1468319289548289E-5</v>
      </c>
      <c r="L97" s="14">
        <f>IF(ROTTE!D147&lt;&gt;"",E97-$E$77,"")</f>
        <v>5.7137968076798051E-5</v>
      </c>
      <c r="M97" s="14">
        <f t="shared" si="13"/>
        <v>0.62780465086961612</v>
      </c>
      <c r="N97" s="70">
        <f t="shared" si="14"/>
        <v>35.970556853513152</v>
      </c>
      <c r="O97" s="39">
        <f t="shared" si="15"/>
        <v>313.30899995453865</v>
      </c>
      <c r="P97" s="20">
        <f t="shared" si="18"/>
        <v>47</v>
      </c>
      <c r="Q97" s="39">
        <f t="shared" si="16"/>
        <v>253.56690727773247</v>
      </c>
      <c r="R97" s="39">
        <f t="shared" si="17"/>
        <v>184.02813096404293</v>
      </c>
      <c r="S97" s="39"/>
      <c r="T97" s="39">
        <f t="shared" si="12"/>
        <v>176.26263179893257</v>
      </c>
    </row>
    <row r="98" spans="1:30">
      <c r="A98" s="20">
        <f>A96+1</f>
        <v>11</v>
      </c>
      <c r="B98" s="20">
        <v>22</v>
      </c>
      <c r="C98" s="80">
        <f>$B$68*(A98-1)/$B$30</f>
        <v>2.7423571715591127E-5</v>
      </c>
      <c r="D98" s="70">
        <f>IF(I98&gt;=0,ASIN(SIN($D$37)*COS(C98)+COS($D$37)*SIN(C98)*COS($C$58)),ASIN(SIN($D$40)*COS(ABS(I98)*SIN($B$69)/SIN($B$70)/$B$30)+COS($D$40)*SIN(ABS(I98)*SIN($B$69)/SIN($B$70)/$B$30)*COS($C$62)))</f>
        <v>0.8004871729058094</v>
      </c>
      <c r="E98" s="70">
        <f>IF(I98&gt;=0,$E$37+ATAN2(COS(C98)-SIN($D$37)*SIN(D98),SIN($C$58)*SIN(C98)*COS($D$37)),$E$40+ATAN2(COS(ABS(I98)*SIN($B$69)/SIN($B$70)/$B$30)-SIN($D$40)*SIN(D98),SIN($C$62)*SIN(ABS(I98)*SIN($B$69)/SIN($B$70)/$B$30)*COS($D$40)))</f>
        <v>0.18799855900485399</v>
      </c>
      <c r="F98" s="14">
        <f t="shared" si="20"/>
        <v>45.864536561861861</v>
      </c>
      <c r="G98" s="14">
        <f t="shared" si="20"/>
        <v>10.771523985519313</v>
      </c>
      <c r="H98" s="39">
        <f t="shared" si="19"/>
        <v>174.76487080479649</v>
      </c>
      <c r="I98" s="39">
        <f>$E$58-H98</f>
        <v>272.99024554318783</v>
      </c>
      <c r="K98" s="14">
        <f>IF(ROTTE!C148&lt;&gt;"",LN(TAN(D98/2+PI()/4)/TAN($D$77/2+PI()/4)),"")</f>
        <v>3.8668994125493273E-5</v>
      </c>
      <c r="L98" s="14">
        <f>IF(ROTTE!D148&lt;&gt;"",E98-$E$77,"")</f>
        <v>5.990795282970196E-5</v>
      </c>
      <c r="M98" s="14">
        <f t="shared" si="13"/>
        <v>0.57318654032794347</v>
      </c>
      <c r="N98" s="70">
        <f t="shared" si="14"/>
        <v>32.841169634496318</v>
      </c>
      <c r="O98" s="39">
        <f t="shared" si="15"/>
        <v>316.43302788530224</v>
      </c>
      <c r="P98" s="20">
        <f t="shared" si="18"/>
        <v>48</v>
      </c>
      <c r="Q98" s="39">
        <f t="shared" si="16"/>
        <v>265.85979777601256</v>
      </c>
      <c r="R98" s="39">
        <f t="shared" si="17"/>
        <v>171.60544590180754</v>
      </c>
      <c r="S98" s="39"/>
      <c r="T98" s="39">
        <f t="shared" si="12"/>
        <v>17.476792067144103</v>
      </c>
    </row>
    <row r="99" spans="1:30">
      <c r="A99" s="20">
        <f>A98</f>
        <v>11</v>
      </c>
      <c r="B99" s="20">
        <v>23</v>
      </c>
      <c r="C99" s="80">
        <f>$B$66*(A99-1)/$B$30</f>
        <v>2.6707665466372119E-5</v>
      </c>
      <c r="D99" s="70">
        <f>IF(I99&gt;=0,ASIN(SIN($D$38)*COS(C99)+COS($D$38)*SIN(C99)*COS($C$50)),ASIN(SIN($D$39)*COS(ABS(I99)*SIN($B$71)/SIN($B$72)/$B$30)+COS($D$39)*SIN(ABS(I99)*SIN($B$71)/SIN($B$72)/$B$30)*COS($C$54)))</f>
        <v>0.80046433996489608</v>
      </c>
      <c r="E99" s="70">
        <f>IF(I99&gt;=0,$E$38+ATAN2(COS(C99)-SIN($D$38)*SIN(D99),SIN($C$50)*SIN(C99)*COS($D$38)),$E$39+ATAN2(COS(ABS(I99)*SIN($B$71)/SIN($B$72)/$B$30)-SIN($D$39)*SIN(D99),SIN($C$54)*SIN(ABS(I99)*SIN($B$71)/SIN($B$72)/$B$30)*COS($D$39)))</f>
        <v>0.18797815604376136</v>
      </c>
      <c r="F99" s="14">
        <f t="shared" si="20"/>
        <v>45.863228330713653</v>
      </c>
      <c r="G99" s="14">
        <f t="shared" si="20"/>
        <v>10.770354981959134</v>
      </c>
      <c r="H99" s="39">
        <f t="shared" si="19"/>
        <v>170.20254520947753</v>
      </c>
      <c r="I99" s="39">
        <f>$E$50-H99</f>
        <v>284.3814352761276</v>
      </c>
      <c r="K99" s="14">
        <f>IF(ROTTE!C149&lt;&gt;"",LN(TAN(D99/2+PI()/4)/TAN($D$77/2+PI()/4)),"")</f>
        <v>5.8802559722440228E-6</v>
      </c>
      <c r="L99" s="14">
        <f>IF(ROTTE!D149&lt;&gt;"",E99-$E$77,"")</f>
        <v>3.9504991737077111E-5</v>
      </c>
      <c r="M99" s="14">
        <f t="shared" si="13"/>
        <v>0.1477635273471738</v>
      </c>
      <c r="N99" s="70">
        <f t="shared" si="14"/>
        <v>8.4662264829589802</v>
      </c>
      <c r="O99" s="39">
        <f t="shared" si="15"/>
        <v>177.24901220928399</v>
      </c>
      <c r="P99" s="20">
        <f t="shared" si="18"/>
        <v>49</v>
      </c>
      <c r="Q99" s="39">
        <f t="shared" si="16"/>
        <v>175.3174976646591</v>
      </c>
      <c r="R99" s="39">
        <f t="shared" si="17"/>
        <v>26.095734168042739</v>
      </c>
      <c r="S99" s="39"/>
      <c r="T99" s="39">
        <f t="shared" si="12"/>
        <v>171.37964966208128</v>
      </c>
    </row>
    <row r="100" spans="1:30">
      <c r="A100" s="20">
        <f>A98+1</f>
        <v>12</v>
      </c>
      <c r="B100" s="20">
        <v>24</v>
      </c>
      <c r="C100" s="80">
        <f>$B$66*(A100-1)/$B$30</f>
        <v>2.9378432013009329E-5</v>
      </c>
      <c r="D100" s="70">
        <f>IF(I100&gt;=0,ASIN(SIN($D$38)*COS(C100)+COS($D$38)*SIN(C100)*COS($C$50)),ASIN(SIN($D$39)*COS(ABS(I100)*SIN($B$71)/SIN($B$72)/$B$30)+COS($D$39)*SIN(ABS(I100)*SIN($B$71)/SIN($B$72)/$B$30)*COS($C$54)))</f>
        <v>0.80046304120924683</v>
      </c>
      <c r="E100" s="70">
        <f>IF(I100&gt;=0,$E$38+ATAN2(COS(C100)-SIN($D$38)*SIN(D100),SIN($C$50)*SIN(C100)*COS($D$38)),$E$39+ATAN2(COS(ABS(I100)*SIN($B$71)/SIN($B$72)/$B$30)-SIN($D$39)*SIN(D100),SIN($C$54)*SIN(ABS(I100)*SIN($B$71)/SIN($B$72)/$B$30)*COS($D$39)))</f>
        <v>0.18798150728234808</v>
      </c>
      <c r="F100" s="14">
        <f t="shared" si="20"/>
        <v>45.863153917496341</v>
      </c>
      <c r="G100" s="14">
        <f t="shared" si="20"/>
        <v>10.770546993786294</v>
      </c>
      <c r="H100" s="39">
        <f t="shared" si="19"/>
        <v>187.22279973042527</v>
      </c>
      <c r="I100" s="39">
        <f>$E$50-H100</f>
        <v>267.36118075517987</v>
      </c>
      <c r="K100" s="14">
        <f>IF(ROTTE!C150&lt;&gt;"",LN(TAN(D100/2+PI()/4)/TAN($D$77/2+PI()/4)),"")</f>
        <v>4.0152299326021734E-6</v>
      </c>
      <c r="L100" s="14">
        <f>IF(ROTTE!D150&lt;&gt;"",E100-$E$77,"")</f>
        <v>4.2856230323795597E-5</v>
      </c>
      <c r="M100" s="14">
        <f t="shared" si="13"/>
        <v>9.3417990874561721E-2</v>
      </c>
      <c r="N100" s="70">
        <f t="shared" si="14"/>
        <v>5.3524566077040241</v>
      </c>
      <c r="O100" s="39">
        <f t="shared" si="15"/>
        <v>191.02288177780832</v>
      </c>
      <c r="P100" s="20">
        <f t="shared" si="18"/>
        <v>50</v>
      </c>
      <c r="Q100" s="39">
        <f t="shared" si="16"/>
        <v>190.1899669729662</v>
      </c>
      <c r="R100" s="39">
        <f t="shared" si="17"/>
        <v>17.81902987035372</v>
      </c>
      <c r="S100" s="39"/>
      <c r="T100" s="39">
        <f t="shared" si="12"/>
        <v>17.020404735432134</v>
      </c>
    </row>
    <row r="101" spans="1:30">
      <c r="A101" s="20">
        <f>A100</f>
        <v>12</v>
      </c>
      <c r="B101" s="20">
        <v>25</v>
      </c>
      <c r="C101" s="80">
        <f>$B$68*(A101-1)/$B$30</f>
        <v>3.0165928887150242E-5</v>
      </c>
      <c r="D101" s="70">
        <f>IF(I101&gt;=0,ASIN(SIN($D$37)*COS(C101)+COS($D$37)*SIN(C101)*COS($C$58)),ASIN(SIN($D$40)*COS(ABS(I101)*SIN($B$69)/SIN($B$70)/$B$30)+COS($D$40)*SIN(ABS(I101)*SIN($B$69)/SIN($B$70)/$B$30)*COS($C$62)))</f>
        <v>0.80048522357383922</v>
      </c>
      <c r="E101" s="70">
        <f>IF(I101&gt;=0,$E$37+ATAN2(COS(C101)-SIN($D$37)*SIN(D101),SIN($C$58)*SIN(C101)*COS($D$37)),$E$40+ATAN2(COS(ABS(I101)*SIN($B$69)/SIN($B$70)/$B$30)-SIN($D$40)*SIN(D101),SIN($C$62)*SIN(ABS(I101)*SIN($B$69)/SIN($B$70)/$B$30)*COS($D$40)))</f>
        <v>0.18800132897847679</v>
      </c>
      <c r="F101" s="14">
        <f t="shared" si="20"/>
        <v>45.864424873367099</v>
      </c>
      <c r="G101" s="14">
        <f t="shared" si="20"/>
        <v>10.771682693317262</v>
      </c>
      <c r="H101" s="39">
        <f t="shared" si="19"/>
        <v>192.24135788527616</v>
      </c>
      <c r="I101" s="39">
        <f>$E$58-H101</f>
        <v>255.51375846270815</v>
      </c>
      <c r="K101" s="14">
        <f>IF(ROTTE!C151&lt;&gt;"",LN(TAN(D101/2+PI()/4)/TAN($D$77/2+PI()/4)),"")</f>
        <v>3.5869669078991489E-5</v>
      </c>
      <c r="L101" s="14">
        <f>IF(ROTTE!D151&lt;&gt;"",E101-$E$77,"")</f>
        <v>6.2677926452509025E-5</v>
      </c>
      <c r="M101" s="14">
        <f t="shared" si="13"/>
        <v>0.5197918753047458</v>
      </c>
      <c r="N101" s="70">
        <f t="shared" si="14"/>
        <v>29.781880680152295</v>
      </c>
      <c r="O101" s="39">
        <f t="shared" si="15"/>
        <v>320.48097979741777</v>
      </c>
      <c r="P101" s="20">
        <f t="shared" si="18"/>
        <v>51</v>
      </c>
      <c r="Q101" s="39">
        <f t="shared" si="16"/>
        <v>278.15267687465001</v>
      </c>
      <c r="R101" s="39">
        <f t="shared" si="17"/>
        <v>159.18274642491704</v>
      </c>
      <c r="S101" s="39"/>
      <c r="T101" s="39">
        <f t="shared" si="12"/>
        <v>166.49666270339085</v>
      </c>
    </row>
    <row r="102" spans="1:30">
      <c r="A102" s="20">
        <f>A100+1</f>
        <v>13</v>
      </c>
      <c r="B102" s="20">
        <v>26</v>
      </c>
      <c r="C102" s="80">
        <f>$B$68*(A102-1)/$B$30</f>
        <v>3.2908286058709358E-5</v>
      </c>
      <c r="D102" s="70">
        <f>IF(I102&gt;=0,ASIN(SIN($D$37)*COS(C102)+COS($D$37)*SIN(C102)*COS($C$58)),ASIN(SIN($D$40)*COS(ABS(I102)*SIN($B$69)/SIN($B$70)/$B$30)+COS($D$40)*SIN(ABS(I102)*SIN($B$69)/SIN($B$70)/$B$30)*COS($C$62)))</f>
        <v>0.80048327423803434</v>
      </c>
      <c r="E102" s="70">
        <f>IF(I102&gt;=0,$E$37+ATAN2(COS(C102)-SIN($D$37)*SIN(D102),SIN($C$58)*SIN(C102)*COS($D$37)),$E$40+ATAN2(COS(ABS(I102)*SIN($B$69)/SIN($B$70)/$B$30)-SIN($D$40)*SIN(D102),SIN($C$62)*SIN(ABS(I102)*SIN($B$69)/SIN($B$70)/$B$30)*COS($D$40)))</f>
        <v>0.18800409894096951</v>
      </c>
      <c r="F102" s="14">
        <f t="shared" si="20"/>
        <v>45.864313184652623</v>
      </c>
      <c r="G102" s="14">
        <f t="shared" si="20"/>
        <v>10.771841400477502</v>
      </c>
      <c r="H102" s="39">
        <f t="shared" si="19"/>
        <v>209.7178449657558</v>
      </c>
      <c r="I102" s="39">
        <f>$E$58-H102</f>
        <v>238.03727138222851</v>
      </c>
      <c r="K102" s="14">
        <f>IF(ROTTE!C152&lt;&gt;"",LN(TAN(D102/2+PI()/4)/TAN($D$77/2+PI()/4)),"")</f>
        <v>3.3070344149843809E-5</v>
      </c>
      <c r="L102" s="14">
        <f>IF(ROTTE!D152&lt;&gt;"",E102-$E$77,"")</f>
        <v>6.5447888945219246E-5</v>
      </c>
      <c r="M102" s="14">
        <f t="shared" si="13"/>
        <v>0.46787284298869153</v>
      </c>
      <c r="N102" s="70">
        <f t="shared" si="14"/>
        <v>26.807139252039054</v>
      </c>
      <c r="O102" s="39">
        <f t="shared" si="15"/>
        <v>325.41837882636906</v>
      </c>
      <c r="P102" s="20">
        <f t="shared" si="18"/>
        <v>52</v>
      </c>
      <c r="Q102" s="39">
        <f t="shared" si="16"/>
        <v>290.44554545219967</v>
      </c>
      <c r="R102" s="39">
        <f t="shared" si="17"/>
        <v>146.76002999780439</v>
      </c>
      <c r="S102" s="39"/>
      <c r="T102" s="39">
        <f t="shared" si="12"/>
        <v>17.476798942980434</v>
      </c>
    </row>
    <row r="103" spans="1:30">
      <c r="A103" s="20">
        <f>A102</f>
        <v>13</v>
      </c>
      <c r="B103" s="20">
        <v>27</v>
      </c>
      <c r="C103" s="80">
        <f>$B$66*(A103-1)/$B$30</f>
        <v>3.2049198559646539E-5</v>
      </c>
      <c r="D103" s="70">
        <f>IF(I103&gt;=0,ASIN(SIN($D$38)*COS(C103)+COS($D$38)*SIN(C103)*COS($C$50)),ASIN(SIN($D$39)*COS(ABS(I103)*SIN($B$71)/SIN($B$72)/$B$30)+COS($D$39)*SIN(ABS(I103)*SIN($B$71)/SIN($B$72)/$B$30)*COS($C$54)))</f>
        <v>0.80046174244798463</v>
      </c>
      <c r="E103" s="70">
        <f>IF(I103&gt;=0,$E$38+ATAN2(COS(C103)-SIN($D$38)*SIN(D103),SIN($C$50)*SIN(C103)*COS($D$38)),$E$39+ATAN2(COS(ABS(I103)*SIN($B$71)/SIN($B$72)/$B$30)-SIN($D$39)*SIN(D103),SIN($C$54)*SIN(ABS(I103)*SIN($B$71)/SIN($B$72)/$B$30)*COS($D$39)))</f>
        <v>0.18798485851196356</v>
      </c>
      <c r="F103" s="14">
        <f t="shared" si="20"/>
        <v>45.863079503957415</v>
      </c>
      <c r="G103" s="14">
        <f t="shared" si="20"/>
        <v>10.770739005099442</v>
      </c>
      <c r="H103" s="39">
        <f t="shared" si="19"/>
        <v>204.24305425137302</v>
      </c>
      <c r="I103" s="39">
        <f>$E$50-H103</f>
        <v>250.34092623423211</v>
      </c>
      <c r="K103" s="14">
        <f>IF(ROTTE!C153&lt;&gt;"",LN(TAN(D103/2+PI()/4)/TAN($D$77/2+PI()/4)),"")</f>
        <v>2.150198329415307E-6</v>
      </c>
      <c r="L103" s="14">
        <f>IF(ROTTE!D153&lt;&gt;"",E103-$E$77,"")</f>
        <v>4.6207459939273665E-5</v>
      </c>
      <c r="M103" s="14">
        <f t="shared" si="13"/>
        <v>4.6500031623495149E-2</v>
      </c>
      <c r="N103" s="70">
        <f t="shared" si="14"/>
        <v>2.6642555592511332</v>
      </c>
      <c r="O103" s="39">
        <f t="shared" si="15"/>
        <v>205.28428293841759</v>
      </c>
      <c r="P103" s="20">
        <f t="shared" si="18"/>
        <v>53</v>
      </c>
      <c r="Q103" s="39">
        <f t="shared" si="16"/>
        <v>205.06238465383129</v>
      </c>
      <c r="R103" s="39">
        <f t="shared" si="17"/>
        <v>9.5422859747766964</v>
      </c>
      <c r="S103" s="39"/>
      <c r="T103" s="39">
        <f t="shared" si="12"/>
        <v>161.6137166910321</v>
      </c>
    </row>
    <row r="104" spans="1:30">
      <c r="A104" s="20">
        <f>A102+1</f>
        <v>14</v>
      </c>
      <c r="B104" s="20">
        <v>28</v>
      </c>
      <c r="C104" s="80">
        <f>$B$66*(A104-1)/$B$30</f>
        <v>3.4719965106283753E-5</v>
      </c>
      <c r="D104" s="70">
        <f>IF(I104&gt;=0,ASIN(SIN($D$38)*COS(C104)+COS($D$38)*SIN(C104)*COS($C$50)),ASIN(SIN($D$39)*COS(ABS(I104)*SIN($B$71)/SIN($B$72)/$B$30)+COS($D$39)*SIN(ABS(I104)*SIN($B$71)/SIN($B$72)/$B$30)*COS($C$54)))</f>
        <v>0.80046044368110925</v>
      </c>
      <c r="E104" s="70">
        <f>IF(I104&gt;=0,$E$38+ATAN2(COS(C104)-SIN($D$38)*SIN(D104),SIN($C$50)*SIN(C104)*COS($D$38)),$E$39+ATAN2(COS(ABS(I104)*SIN($B$71)/SIN($B$72)/$B$30)-SIN($D$39)*SIN(D104),SIN($C$54)*SIN(ABS(I104)*SIN($B$71)/SIN($B$72)/$B$30)*COS($D$39)))</f>
        <v>0.18798820973260788</v>
      </c>
      <c r="F104" s="14">
        <f t="shared" si="20"/>
        <v>45.863005090096884</v>
      </c>
      <c r="G104" s="14">
        <f t="shared" si="20"/>
        <v>10.770931015898578</v>
      </c>
      <c r="H104" s="39">
        <f t="shared" si="19"/>
        <v>221.26330877232078</v>
      </c>
      <c r="I104" s="39">
        <f>$E$50-H104</f>
        <v>233.32067171328436</v>
      </c>
      <c r="K104" s="14">
        <f>IF(ROTTE!C154&lt;&gt;"",LN(TAN(D104/2+PI()/4)/TAN($D$77/2+PI()/4)),"")</f>
        <v>2.8516116154855926E-7</v>
      </c>
      <c r="L104" s="14">
        <f>IF(ROTTE!D154&lt;&gt;"",E104-$E$77,"")</f>
        <v>4.9558680583594583E-5</v>
      </c>
      <c r="M104" s="14">
        <f t="shared" si="13"/>
        <v>5.7539468596448321E-3</v>
      </c>
      <c r="N104" s="70">
        <f t="shared" si="14"/>
        <v>0.32967687060020273</v>
      </c>
      <c r="O104" s="39">
        <f t="shared" si="15"/>
        <v>219.93841802441997</v>
      </c>
      <c r="P104" s="20">
        <f t="shared" si="18"/>
        <v>54</v>
      </c>
      <c r="Q104" s="39">
        <f t="shared" si="16"/>
        <v>219.93477718439911</v>
      </c>
      <c r="R104" s="39">
        <f t="shared" si="17"/>
        <v>1.2655069866324891</v>
      </c>
      <c r="S104" s="39"/>
      <c r="T104" s="39">
        <f>IF(_xlfn.IFNA(Q104,0)=0,0,SQRT((Q104-Q103)^2+(R104-R103)^2))</f>
        <v>17.020373967744508</v>
      </c>
    </row>
    <row r="105" spans="1:30">
      <c r="A105" s="20">
        <f>A104</f>
        <v>14</v>
      </c>
      <c r="B105" s="20">
        <v>29</v>
      </c>
      <c r="C105" s="80">
        <f>$B$68*(A105-1)/$B$30</f>
        <v>3.5650643230268466E-5</v>
      </c>
      <c r="D105" s="70">
        <f>IF(I105&gt;=0,ASIN(SIN($D$37)*COS(C105)+COS($D$37)*SIN(C105)*COS($C$58)),ASIN(SIN($D$40)*COS(ABS(I105)*SIN($B$69)/SIN($B$70)/$B$30)+COS($D$40)*SIN(ABS(I105)*SIN($B$69)/SIN($B$70)/$B$30)*COS($C$62)))</f>
        <v>0.80048132489839496</v>
      </c>
      <c r="E105" s="70">
        <f>IF(I105&gt;=0,$E$37+ATAN2(COS(C105)-SIN($D$37)*SIN(D105),SIN($C$58)*SIN(C105)*COS($D$37)),$E$40+ATAN2(COS(ABS(I105)*SIN($B$69)/SIN($B$70)/$B$30)-SIN($D$40)*SIN(D105),SIN($C$62)*SIN(ABS(I105)*SIN($B$69)/SIN($B$70)/$B$30)*COS($D$40)))</f>
        <v>0.18800686889233226</v>
      </c>
      <c r="F105" s="14">
        <f t="shared" si="20"/>
        <v>45.864201495718454</v>
      </c>
      <c r="G105" s="14">
        <f t="shared" si="20"/>
        <v>10.772000107000045</v>
      </c>
      <c r="H105" s="39">
        <f t="shared" si="19"/>
        <v>227.19433204623544</v>
      </c>
      <c r="I105" s="39">
        <f>$E$58-H105</f>
        <v>220.56078430174887</v>
      </c>
      <c r="K105" s="14">
        <f>IF(ROTTE!C155&lt;&gt;"",LN(TAN(D105/2+PI()/4)/TAN($D$77/2+PI()/4)),"")</f>
        <v>3.0271019337629085E-5</v>
      </c>
      <c r="L105" s="14">
        <f>IF(ROTTE!D155&lt;&gt;"",E105-$E$77,"")</f>
        <v>6.82178403079714E-5</v>
      </c>
      <c r="M105" s="14">
        <f t="shared" si="13"/>
        <v>0.41763635557081019</v>
      </c>
      <c r="N105" s="70">
        <f t="shared" si="14"/>
        <v>23.928800545432392</v>
      </c>
      <c r="O105" s="39">
        <f t="shared" si="15"/>
        <v>331.2054222096076</v>
      </c>
      <c r="P105" s="20">
        <f t="shared" si="18"/>
        <v>55</v>
      </c>
      <c r="Q105" s="39">
        <f t="shared" si="16"/>
        <v>302.73837893739704</v>
      </c>
      <c r="R105" s="39">
        <f t="shared" si="17"/>
        <v>134.33728305798581</v>
      </c>
      <c r="S105" s="39"/>
      <c r="T105" s="39">
        <f t="shared" si="12"/>
        <v>156.73076931494174</v>
      </c>
    </row>
    <row r="106" spans="1:30">
      <c r="A106" s="20">
        <f>A104+1</f>
        <v>15</v>
      </c>
      <c r="B106" s="20">
        <v>30</v>
      </c>
      <c r="C106" s="80">
        <f>$B$68*(A106-1)/$B$30</f>
        <v>3.8393000401827582E-5</v>
      </c>
      <c r="D106" s="70">
        <f>IF(I106&gt;=0,ASIN(SIN($D$37)*COS(C106)+COS($D$37)*SIN(C106)*COS($C$58)),ASIN(SIN($D$40)*COS(ABS(I106)*SIN($B$69)/SIN($B$70)/$B$30)+COS($D$40)*SIN(ABS(I106)*SIN($B$69)/SIN($B$70)/$B$30)*COS($C$62)))</f>
        <v>0.8004793755549211</v>
      </c>
      <c r="E106" s="70">
        <f>IF(I106&gt;=0,$E$37+ATAN2(COS(C106)-SIN($D$37)*SIN(D106),SIN($C$58)*SIN(C106)*COS($D$37)),$E$40+ATAN2(COS(ABS(I106)*SIN($B$69)/SIN($B$70)/$B$30)-SIN($D$40)*SIN(D106),SIN($C$62)*SIN(ABS(I106)*SIN($B$69)/SIN($B$70)/$B$30)*COS($D$40)))</f>
        <v>0.18800963883256505</v>
      </c>
      <c r="F106" s="14">
        <f t="shared" si="20"/>
        <v>45.864089806564579</v>
      </c>
      <c r="G106" s="14">
        <f t="shared" si="20"/>
        <v>10.772158812884886</v>
      </c>
      <c r="H106" s="39">
        <f t="shared" si="19"/>
        <v>244.67081912671509</v>
      </c>
      <c r="I106" s="39">
        <f>$E$58-H106</f>
        <v>203.08429722126922</v>
      </c>
      <c r="K106" s="14">
        <f>IF(ROTTE!C156&lt;&gt;"",LN(TAN(D106/2+PI()/4)/TAN($D$77/2+PI()/4)),"")</f>
        <v>2.7471694643702465E-5</v>
      </c>
      <c r="L106" s="14">
        <f>IF(ROTTE!D156&lt;&gt;"",E106-$E$77,"")</f>
        <v>7.0987780540765488E-5</v>
      </c>
      <c r="M106" s="14">
        <f t="shared" si="13"/>
        <v>0.36924242966962473</v>
      </c>
      <c r="N106" s="70">
        <f t="shared" si="14"/>
        <v>21.156032837225627</v>
      </c>
      <c r="O106" s="39">
        <f t="shared" si="15"/>
        <v>337.79844534620804</v>
      </c>
      <c r="P106" s="20">
        <f t="shared" si="18"/>
        <v>56</v>
      </c>
      <c r="Q106" s="39">
        <f t="shared" si="16"/>
        <v>315.03117710454774</v>
      </c>
      <c r="R106" s="39">
        <f t="shared" si="17"/>
        <v>121.91450746501903</v>
      </c>
      <c r="S106" s="39"/>
      <c r="T106" s="39">
        <f t="shared" si="12"/>
        <v>17.476791473594766</v>
      </c>
    </row>
    <row r="107" spans="1:30">
      <c r="A107" s="20">
        <f>A106</f>
        <v>15</v>
      </c>
      <c r="B107" s="20">
        <v>31</v>
      </c>
      <c r="C107" s="80">
        <f>$B$66*(A107-1)/$B$30</f>
        <v>3.739073165292096E-5</v>
      </c>
      <c r="D107" s="70">
        <f>IF(I107&gt;=0,ASIN(SIN($D$38)*COS(C107)+COS($D$38)*SIN(C107)*COS($C$50)),ASIN(SIN($D$39)*COS(ABS(I107)*SIN($B$71)/SIN($B$72)/$B$30)+COS($D$39)*SIN(ABS(I107)*SIN($B$71)/SIN($B$72)/$B$30)*COS($C$54)))</f>
        <v>0.80045914490862136</v>
      </c>
      <c r="E107" s="70">
        <f>IF(I107&gt;=0,$E$38+ATAN2(COS(C107)-SIN($D$38)*SIN(D107),SIN($C$50)*SIN(C107)*COS($D$38)),$E$39+ATAN2(COS(ABS(I107)*SIN($B$71)/SIN($B$72)/$B$30)-SIN($D$39)*SIN(D107),SIN($C$54)*SIN(ABS(I107)*SIN($B$71)/SIN($B$72)/$B$30)*COS($D$39)))</f>
        <v>0.18799156094428102</v>
      </c>
      <c r="F107" s="14">
        <f t="shared" si="20"/>
        <v>45.862930675914782</v>
      </c>
      <c r="G107" s="14">
        <f t="shared" si="20"/>
        <v>10.771123026183703</v>
      </c>
      <c r="H107" s="39">
        <f t="shared" si="19"/>
        <v>238.28356329326851</v>
      </c>
      <c r="I107" s="39">
        <f>$E$50-H107</f>
        <v>216.30041719233662</v>
      </c>
      <c r="K107" s="14">
        <f>IF(ROTTE!C157&lt;&gt;"",LN(TAN(D107/2+PI()/4)/TAN($D$77/2+PI()/4)),"")</f>
        <v>-1.5798815699124924E-6</v>
      </c>
      <c r="L107" s="14">
        <f>IF(ROTTE!D157&lt;&gt;"",E107-$E$77,"")</f>
        <v>5.2909892256730595E-5</v>
      </c>
      <c r="M107" s="14">
        <f t="shared" si="13"/>
        <v>-2.9850982625331361E-2</v>
      </c>
      <c r="N107" s="70">
        <f t="shared" si="14"/>
        <v>-1.7103353187498369</v>
      </c>
      <c r="O107" s="39">
        <f t="shared" si="15"/>
        <v>234.91181980890727</v>
      </c>
      <c r="P107" s="20">
        <f t="shared" si="18"/>
        <v>57</v>
      </c>
      <c r="Q107" s="39">
        <f t="shared" si="16"/>
        <v>234.80716483171258</v>
      </c>
      <c r="R107" s="39">
        <f t="shared" si="17"/>
        <v>-7.0113072693667631</v>
      </c>
      <c r="S107" s="39"/>
      <c r="T107" s="39">
        <f t="shared" si="12"/>
        <v>151.84781147608675</v>
      </c>
    </row>
    <row r="108" spans="1:30">
      <c r="A108" s="20">
        <f>A106+1</f>
        <v>16</v>
      </c>
      <c r="B108" s="20">
        <v>32</v>
      </c>
      <c r="C108" s="80">
        <f>$B$66*(A108-1)/$B$30</f>
        <v>4.0061498199558174E-5</v>
      </c>
      <c r="D108" s="70">
        <f>IF(I108&gt;=0,ASIN(SIN($D$38)*COS(C108)+COS($D$38)*SIN(C108)*COS($C$50)),ASIN(SIN($D$39)*COS(ABS(I108)*SIN($B$71)/SIN($B$72)/$B$30)+COS($D$39)*SIN(ABS(I108)*SIN($B$71)/SIN($B$72)/$B$30)*COS($C$54)))</f>
        <v>0.80045784613052062</v>
      </c>
      <c r="E108" s="70">
        <f>IF(I108&gt;=0,$E$38+ATAN2(COS(C108)-SIN($D$38)*SIN(D108),SIN($C$50)*SIN(C108)*COS($D$38)),$E$39+ATAN2(COS(ABS(I108)*SIN($B$71)/SIN($B$72)/$B$30)-SIN($D$39)*SIN(D108),SIN($C$54)*SIN(ABS(I108)*SIN($B$71)/SIN($B$72)/$B$30)*COS($D$39)))</f>
        <v>0.18799491214698297</v>
      </c>
      <c r="F108" s="14">
        <f t="shared" si="20"/>
        <v>45.862856261411089</v>
      </c>
      <c r="G108" s="14">
        <f t="shared" si="20"/>
        <v>10.771315035954819</v>
      </c>
      <c r="H108" s="39">
        <f t="shared" si="19"/>
        <v>255.30381781421627</v>
      </c>
      <c r="I108" s="39">
        <f>$E$50-H108</f>
        <v>199.28016267138887</v>
      </c>
      <c r="K108" s="14">
        <f>IF(ROTTE!C158&lt;&gt;"",LN(TAN(D108/2+PI()/4)/TAN($D$77/2+PI()/4)),"")</f>
        <v>-3.4449298644373766E-6</v>
      </c>
      <c r="L108" s="14">
        <f>IF(ROTTE!D158&lt;&gt;"",E108-$E$77,"")</f>
        <v>5.6261094958681701E-5</v>
      </c>
      <c r="M108" s="14">
        <f t="shared" si="13"/>
        <v>-6.1154768226803463E-2</v>
      </c>
      <c r="N108" s="70">
        <f t="shared" si="14"/>
        <v>-3.5039101164965833</v>
      </c>
      <c r="O108" s="39">
        <f t="shared" si="15"/>
        <v>250.14714448043438</v>
      </c>
      <c r="P108" s="20">
        <f t="shared" si="18"/>
        <v>58</v>
      </c>
      <c r="Q108" s="39">
        <f t="shared" si="16"/>
        <v>249.67952688198505</v>
      </c>
      <c r="R108" s="39">
        <f t="shared" si="17"/>
        <v>-15.288157106185468</v>
      </c>
      <c r="S108" s="39"/>
      <c r="T108" s="39">
        <f t="shared" si="12"/>
        <v>17.020381787011434</v>
      </c>
    </row>
    <row r="109" spans="1:30">
      <c r="A109" s="20">
        <f>A108</f>
        <v>16</v>
      </c>
      <c r="B109" s="20">
        <v>33</v>
      </c>
      <c r="C109" s="80">
        <f>$B$68*(A109-1)/$B$30</f>
        <v>4.113535757338669E-5</v>
      </c>
      <c r="D109" s="70">
        <f>IF(I109&gt;=0,ASIN(SIN($D$37)*COS(C109)+COS($D$37)*SIN(C109)*COS($C$58)),ASIN(SIN($D$40)*COS(ABS(I109)*SIN($B$69)/SIN($B$70)/$B$30)+COS($D$40)*SIN(ABS(I109)*SIN($B$69)/SIN($B$70)/$B$30)*COS($C$62)))</f>
        <v>0.80047742620761253</v>
      </c>
      <c r="E109" s="70">
        <f>IF(I109&gt;=0,$E$37+ATAN2(COS(C109)-SIN($D$37)*SIN(D109),SIN($C$58)*SIN(C109)*COS($D$37)),$E$40+ATAN2(COS(ABS(I109)*SIN($B$69)/SIN($B$70)/$B$30)-SIN($D$40)*SIN(D109),SIN($C$62)*SIN(ABS(I109)*SIN($B$69)/SIN($B$70)/$B$30)*COS($D$40)))</f>
        <v>0.188012408761668</v>
      </c>
      <c r="F109" s="14">
        <f t="shared" ref="F109:G124" si="21">D109*180/PI()</f>
        <v>45.863978117190996</v>
      </c>
      <c r="G109" s="14">
        <f t="shared" si="21"/>
        <v>10.772317518132036</v>
      </c>
      <c r="H109" s="39">
        <f t="shared" si="19"/>
        <v>262.14730620719473</v>
      </c>
      <c r="I109" s="39">
        <f>$E$58-H109</f>
        <v>185.60781014078958</v>
      </c>
      <c r="K109" s="14">
        <f>IF(ROTTE!C159&lt;&gt;"",LN(TAN(D109/2+PI()/4)/TAN($D$77/2+PI()/4)),"")</f>
        <v>2.4672370066754642E-5</v>
      </c>
      <c r="L109" s="14">
        <f>IF(ROTTE!D159&lt;&gt;"",E109-$E$77,"")</f>
        <v>7.3757709643712532E-5</v>
      </c>
      <c r="M109" s="14">
        <f t="shared" si="13"/>
        <v>0.3228052614818378</v>
      </c>
      <c r="N109" s="70">
        <f t="shared" si="14"/>
        <v>18.495379087526263</v>
      </c>
      <c r="O109" s="39">
        <f t="shared" si="15"/>
        <v>345.1512642489439</v>
      </c>
      <c r="P109" s="20">
        <f t="shared" si="18"/>
        <v>59</v>
      </c>
      <c r="Q109" s="39">
        <f t="shared" si="16"/>
        <v>327.32394009713653</v>
      </c>
      <c r="R109" s="39">
        <f t="shared" si="17"/>
        <v>109.49170494576504</v>
      </c>
      <c r="S109" s="39"/>
      <c r="T109" s="39">
        <f t="shared" si="12"/>
        <v>146.96485592558849</v>
      </c>
    </row>
    <row r="110" spans="1:30">
      <c r="A110" s="20">
        <f>A108+1</f>
        <v>17</v>
      </c>
      <c r="B110" s="20">
        <v>34</v>
      </c>
      <c r="C110" s="80">
        <f>$B$68*(A110-1)/$B$30</f>
        <v>4.3877714744945806E-5</v>
      </c>
      <c r="D110" s="70">
        <f>IF(I110&gt;=0,ASIN(SIN($D$37)*COS(C110)+COS($D$37)*SIN(C110)*COS($C$58)),ASIN(SIN($D$40)*COS(ABS(I110)*SIN($B$69)/SIN($B$70)/$B$30)+COS($D$40)*SIN(ABS(I110)*SIN($B$69)/SIN($B$70)/$B$30)*COS($C$62)))</f>
        <v>0.80047547685646947</v>
      </c>
      <c r="E110" s="70">
        <f>IF(I110&gt;=0,$E$37+ATAN2(COS(C110)-SIN($D$37)*SIN(D110),SIN($C$58)*SIN(C110)*COS($D$37)),$E$40+ATAN2(COS(ABS(I110)*SIN($B$69)/SIN($B$70)/$B$30)-SIN($D$40)*SIN(D110),SIN($C$62)*SIN(ABS(I110)*SIN($B$69)/SIN($B$70)/$B$30)*COS($D$40)))</f>
        <v>0.18801517867964115</v>
      </c>
      <c r="F110" s="14">
        <f t="shared" si="21"/>
        <v>45.863866427597706</v>
      </c>
      <c r="G110" s="14">
        <f t="shared" si="21"/>
        <v>10.772476222741496</v>
      </c>
      <c r="H110" s="39">
        <f t="shared" si="19"/>
        <v>279.6237932876744</v>
      </c>
      <c r="I110" s="39">
        <f>$E$58-H110</f>
        <v>168.13132306030991</v>
      </c>
      <c r="K110" s="14">
        <f>IF(ROTTE!C160&lt;&gt;"",LN(TAN(D110/2+PI()/4)/TAN($D$77/2+PI()/4)),"")</f>
        <v>2.1873045606808537E-5</v>
      </c>
      <c r="L110" s="14">
        <f>IF(ROTTE!D160&lt;&gt;"",E110-$E$77,"")</f>
        <v>7.6527627616868044E-5</v>
      </c>
      <c r="M110" s="14">
        <f t="shared" si="13"/>
        <v>0.27839641460296993</v>
      </c>
      <c r="N110" s="70">
        <f t="shared" si="14"/>
        <v>15.950939588324417</v>
      </c>
      <c r="O110" s="39">
        <f t="shared" si="15"/>
        <v>353.21648372255066</v>
      </c>
      <c r="P110" s="20">
        <f t="shared" si="18"/>
        <v>60</v>
      </c>
      <c r="Q110" s="39">
        <f t="shared" si="16"/>
        <v>339.61671743182859</v>
      </c>
      <c r="R110" s="39">
        <f t="shared" si="17"/>
        <v>97.068891073053891</v>
      </c>
      <c r="S110" s="39"/>
      <c r="T110" s="39">
        <f t="shared" si="12"/>
        <v>17.47680403038105</v>
      </c>
    </row>
    <row r="111" spans="1:30" s="22" customFormat="1">
      <c r="A111" s="20">
        <f>A110</f>
        <v>17</v>
      </c>
      <c r="B111" s="20">
        <v>35</v>
      </c>
      <c r="C111" s="80">
        <f>$B$66*(A111-1)/$B$30</f>
        <v>4.2732264746195388E-5</v>
      </c>
      <c r="D111" s="70">
        <f>IF(I111&gt;=0,ASIN(SIN($D$38)*COS(C111)+COS($D$38)*SIN(C111)*COS($C$50)),ASIN(SIN($D$39)*COS(ABS(I111)*SIN($B$71)/SIN($B$72)/$B$30)+COS($D$39)*SIN(ABS(I111)*SIN($B$71)/SIN($B$72)/$B$30)*COS($C$54)))</f>
        <v>0.80045654734680727</v>
      </c>
      <c r="E111" s="70">
        <f>IF(I111&gt;=0,$E$38+ATAN2(COS(C111)-SIN($D$38)*SIN(D111),SIN($C$50)*SIN(C111)*COS($D$38)),$E$39+ATAN2(COS(ABS(I111)*SIN($B$71)/SIN($B$72)/$B$30)-SIN($D$39)*SIN(D111),SIN($C$54)*SIN(ABS(I111)*SIN($B$71)/SIN($B$72)/$B$30)*COS($D$39)))</f>
        <v>0.18799826334071376</v>
      </c>
      <c r="F111" s="14">
        <f t="shared" si="21"/>
        <v>45.862781846585804</v>
      </c>
      <c r="G111" s="14">
        <f t="shared" si="21"/>
        <v>10.771507045211923</v>
      </c>
      <c r="H111" s="39">
        <f t="shared" si="19"/>
        <v>272.32407233516403</v>
      </c>
      <c r="I111" s="39">
        <f>$E$50-H111</f>
        <v>182.25990815044111</v>
      </c>
      <c r="J111" s="20"/>
      <c r="K111" s="14">
        <f>IF(ROTTE!C161&lt;&gt;"",LN(TAN(D111/2+PI()/4)/TAN($D$77/2+PI()/4)),"")</f>
        <v>-5.3099837220507314E-6</v>
      </c>
      <c r="L111" s="14">
        <f>IF(ROTTE!D161&lt;&gt;"",E111-$E$77,"")</f>
        <v>5.9612288689475657E-5</v>
      </c>
      <c r="M111" s="14">
        <f t="shared" si="13"/>
        <v>-8.8840848964541502E-2</v>
      </c>
      <c r="N111" s="70">
        <f t="shared" si="14"/>
        <v>-5.0902056940274178</v>
      </c>
      <c r="O111" s="39">
        <f t="shared" si="15"/>
        <v>265.59932255420074</v>
      </c>
      <c r="P111" s="20">
        <f t="shared" si="18"/>
        <v>61</v>
      </c>
      <c r="Q111" s="39">
        <f t="shared" si="16"/>
        <v>264.55186435087722</v>
      </c>
      <c r="R111" s="39">
        <f t="shared" si="17"/>
        <v>-23.565042111683557</v>
      </c>
      <c r="S111" s="39"/>
      <c r="T111" s="39">
        <f t="shared" si="12"/>
        <v>142.08194115961575</v>
      </c>
      <c r="V111" s="20"/>
      <c r="W111" s="20"/>
      <c r="X111" s="20"/>
      <c r="Y111" s="20"/>
      <c r="Z111" s="20"/>
      <c r="AA111" s="20"/>
      <c r="AB111" s="20"/>
      <c r="AC111" s="20"/>
      <c r="AD111" s="20"/>
    </row>
    <row r="112" spans="1:30" s="22" customFormat="1">
      <c r="A112" s="20">
        <f>A110+1</f>
        <v>18</v>
      </c>
      <c r="B112" s="20">
        <v>36</v>
      </c>
      <c r="C112" s="80">
        <f>$B$66*(A112-1)/$B$30</f>
        <v>4.5403031292832595E-5</v>
      </c>
      <c r="D112" s="70">
        <f>IF(I112&gt;=0,ASIN(SIN($D$38)*COS(C112)+COS($D$38)*SIN(C112)*COS($C$50)),ASIN(SIN($D$39)*COS(ABS(I112)*SIN($B$71)/SIN($B$72)/$B$30)+COS($D$39)*SIN(ABS(I112)*SIN($B$71)/SIN($B$72)/$B$30)*COS($C$54)))</f>
        <v>0.80045524855748107</v>
      </c>
      <c r="E112" s="70">
        <f>IF(I112&gt;=0,$E$38+ATAN2(COS(C112)-SIN($D$38)*SIN(D112),SIN($C$50)*SIN(C112)*COS($D$38)),$E$39+ATAN2(COS(ABS(I112)*SIN($B$71)/SIN($B$72)/$B$30)-SIN($D$39)*SIN(D112),SIN($C$54)*SIN(ABS(I112)*SIN($B$71)/SIN($B$72)/$B$30)*COS($D$39)))</f>
        <v>0.18800161452547343</v>
      </c>
      <c r="F112" s="14">
        <f t="shared" si="21"/>
        <v>45.862707431438942</v>
      </c>
      <c r="G112" s="14">
        <f t="shared" si="21"/>
        <v>10.77169905395502</v>
      </c>
      <c r="H112" s="39">
        <f t="shared" si="19"/>
        <v>289.34432685611176</v>
      </c>
      <c r="I112" s="39">
        <f>$E$50-H112</f>
        <v>165.23965362949338</v>
      </c>
      <c r="J112" s="20"/>
      <c r="K112" s="14">
        <f>IF(ROTTE!C162&lt;&gt;"",LN(TAN(D112/2+PI()/4)/TAN($D$77/2+PI()/4)),"")</f>
        <v>-7.175043143776405E-6</v>
      </c>
      <c r="L112" s="14">
        <f>IF(ROTTE!D162&lt;&gt;"",E112-$E$77,"")</f>
        <v>6.2963473449140217E-5</v>
      </c>
      <c r="M112" s="14">
        <f t="shared" si="13"/>
        <v>-0.11346617993797023</v>
      </c>
      <c r="N112" s="70">
        <f t="shared" si="14"/>
        <v>-6.5011332279176672</v>
      </c>
      <c r="O112" s="39">
        <f t="shared" si="15"/>
        <v>281.23264367634874</v>
      </c>
      <c r="P112" s="20">
        <f t="shared" si="18"/>
        <v>62</v>
      </c>
      <c r="Q112" s="39">
        <f t="shared" si="16"/>
        <v>279.42420992082043</v>
      </c>
      <c r="R112" s="39">
        <f t="shared" si="17"/>
        <v>-31.841965694872229</v>
      </c>
      <c r="S112" s="39"/>
      <c r="T112" s="39">
        <f t="shared" si="12"/>
        <v>17.020403248858532</v>
      </c>
      <c r="V112" s="20"/>
      <c r="W112" s="20"/>
      <c r="X112" s="20"/>
      <c r="Y112" s="20"/>
      <c r="Z112" s="20"/>
      <c r="AA112" s="20"/>
      <c r="AB112" s="20"/>
      <c r="AC112" s="20"/>
      <c r="AD112" s="20"/>
    </row>
    <row r="113" spans="1:30" s="22" customFormat="1">
      <c r="A113" s="20">
        <f>A112</f>
        <v>18</v>
      </c>
      <c r="B113" s="20">
        <v>37</v>
      </c>
      <c r="C113" s="80">
        <f>$B$68*(A113-1)/$B$30</f>
        <v>4.6620071916504921E-5</v>
      </c>
      <c r="D113" s="70">
        <f>IF(I113&gt;=0,ASIN(SIN($D$37)*COS(C113)+COS($D$37)*SIN(C113)*COS($C$58)),ASIN(SIN($D$40)*COS(ABS(I113)*SIN($B$69)/SIN($B$70)/$B$30)+COS($D$40)*SIN(ABS(I113)*SIN($B$69)/SIN($B$70)/$B$30)*COS($C$62)))</f>
        <v>0.80047352750149203</v>
      </c>
      <c r="E113" s="70">
        <f>IF(I113&gt;=0,$E$37+ATAN2(COS(C113)-SIN($D$37)*SIN(D113),SIN($C$58)*SIN(C113)*COS($D$37)),$E$40+ATAN2(COS(ABS(I113)*SIN($B$69)/SIN($B$70)/$B$30)-SIN($D$40)*SIN(D113),SIN($C$62)*SIN(ABS(I113)*SIN($B$69)/SIN($B$70)/$B$30)*COS($D$40)))</f>
        <v>0.1880179485864846</v>
      </c>
      <c r="F113" s="14">
        <f t="shared" si="21"/>
        <v>45.863754737784724</v>
      </c>
      <c r="G113" s="14">
        <f t="shared" si="21"/>
        <v>10.77263492671327</v>
      </c>
      <c r="H113" s="39">
        <f t="shared" si="19"/>
        <v>297.10028036815407</v>
      </c>
      <c r="I113" s="39">
        <f>$E$58-H113</f>
        <v>150.65483597983024</v>
      </c>
      <c r="J113" s="20"/>
      <c r="K113" s="14">
        <f>IF(ROTTE!C163&lt;&gt;"",LN(TAN(D113/2+PI()/4)/TAN($D$77/2+PI()/4)),"")</f>
        <v>1.9073721264997267E-5</v>
      </c>
      <c r="L113" s="14">
        <f>IF(ROTTE!D163&lt;&gt;"",E113-$E$77,"")</f>
        <v>7.9297534460315289E-5</v>
      </c>
      <c r="M113" s="14">
        <f t="shared" si="13"/>
        <v>0.23604945614419218</v>
      </c>
      <c r="N113" s="70">
        <f t="shared" si="14"/>
        <v>13.52463759342063</v>
      </c>
      <c r="O113" s="39">
        <f t="shared" si="15"/>
        <v>361.94642154963242</v>
      </c>
      <c r="P113" s="20">
        <f t="shared" si="18"/>
        <v>63</v>
      </c>
      <c r="Q113" s="39">
        <f t="shared" si="16"/>
        <v>351.90944724401794</v>
      </c>
      <c r="R113" s="39">
        <f t="shared" si="17"/>
        <v>84.646045465774392</v>
      </c>
      <c r="S113" s="39"/>
      <c r="T113" s="39">
        <f t="shared" si="12"/>
        <v>137.19900281694177</v>
      </c>
      <c r="V113" s="20"/>
      <c r="W113" s="20"/>
      <c r="X113" s="20"/>
      <c r="Y113" s="20"/>
      <c r="Z113" s="20"/>
      <c r="AA113" s="20"/>
      <c r="AB113" s="20"/>
      <c r="AC113" s="20"/>
      <c r="AD113" s="20"/>
    </row>
    <row r="114" spans="1:30" s="22" customFormat="1">
      <c r="A114" s="20">
        <f>A112+1</f>
        <v>19</v>
      </c>
      <c r="B114" s="20">
        <v>38</v>
      </c>
      <c r="C114" s="80">
        <f>$B$68*(A114-1)/$B$30</f>
        <v>4.936242908806403E-5</v>
      </c>
      <c r="D114" s="70">
        <f>IF(I114&gt;=0,ASIN(SIN($D$37)*COS(C114)+COS($D$37)*SIN(C114)*COS($C$58)),ASIN(SIN($D$40)*COS(ABS(I114)*SIN($B$69)/SIN($B$70)/$B$30)+COS($D$40)*SIN(ABS(I114)*SIN($B$69)/SIN($B$70)/$B$30)*COS($C$62)))</f>
        <v>0.80047157814268033</v>
      </c>
      <c r="E114" s="70">
        <f>IF(I114&gt;=0,$E$37+ATAN2(COS(C114)-SIN($D$37)*SIN(D114),SIN($C$58)*SIN(C114)*COS($D$37)),$E$40+ATAN2(COS(ABS(I114)*SIN($B$69)/SIN($B$70)/$B$30)-SIN($D$40)*SIN(D114),SIN($C$62)*SIN(ABS(I114)*SIN($B$69)/SIN($B$70)/$B$30)*COS($D$40)))</f>
        <v>0.18802071848219837</v>
      </c>
      <c r="F114" s="14">
        <f t="shared" si="21"/>
        <v>45.863643047752056</v>
      </c>
      <c r="G114" s="14">
        <f t="shared" si="21"/>
        <v>10.772793630047358</v>
      </c>
      <c r="H114" s="39">
        <f t="shared" si="19"/>
        <v>314.57676744863369</v>
      </c>
      <c r="I114" s="39">
        <f>$E$58-H114</f>
        <v>133.17834889935062</v>
      </c>
      <c r="J114" s="20"/>
      <c r="K114" s="14">
        <f>IF(ROTTE!C164&lt;&gt;"",LN(TAN(D114/2+PI()/4)/TAN($D$77/2+PI()/4)),"")</f>
        <v>1.6274397040899684E-5</v>
      </c>
      <c r="L114" s="14">
        <f>IF(ROTTE!D164&lt;&gt;"",E114-$E$77,"")</f>
        <v>8.2067430174082023E-5</v>
      </c>
      <c r="M114" s="14">
        <f t="shared" si="13"/>
        <v>0.19576540155491778</v>
      </c>
      <c r="N114" s="70">
        <f t="shared" si="14"/>
        <v>11.216531283780592</v>
      </c>
      <c r="O114" s="39">
        <f t="shared" si="15"/>
        <v>371.2942423211914</v>
      </c>
      <c r="P114" s="20">
        <f t="shared" si="18"/>
        <v>64</v>
      </c>
      <c r="Q114" s="39">
        <f t="shared" si="16"/>
        <v>364.2021780988847</v>
      </c>
      <c r="R114" s="39">
        <f t="shared" si="17"/>
        <v>72.223180827874728</v>
      </c>
      <c r="S114" s="39"/>
      <c r="T114" s="39">
        <f t="shared" si="12"/>
        <v>17.476807422460524</v>
      </c>
      <c r="V114" s="20"/>
      <c r="W114" s="20"/>
      <c r="X114" s="20"/>
      <c r="Y114" s="20"/>
      <c r="Z114" s="20"/>
      <c r="AA114" s="20"/>
      <c r="AB114" s="20"/>
      <c r="AC114" s="20"/>
      <c r="AD114" s="20"/>
    </row>
    <row r="115" spans="1:30" s="22" customFormat="1">
      <c r="A115" s="20">
        <f>A114</f>
        <v>19</v>
      </c>
      <c r="B115" s="20">
        <v>39</v>
      </c>
      <c r="C115" s="80">
        <f>$B$66*(A115-1)/$B$30</f>
        <v>4.8073797839469816E-5</v>
      </c>
      <c r="D115" s="70">
        <f>IF(I115&gt;=0,ASIN(SIN($D$38)*COS(C115)+COS($D$38)*SIN(C115)*COS($C$50)),ASIN(SIN($D$39)*COS(ABS(I115)*SIN($B$71)/SIN($B$72)/$B$30)+COS($D$39)*SIN(ABS(I115)*SIN($B$71)/SIN($B$72)/$B$30)*COS($C$54)))</f>
        <v>0.80045394976254247</v>
      </c>
      <c r="E115" s="70">
        <f>IF(I115&gt;=0,$E$38+ATAN2(COS(C115)-SIN($D$38)*SIN(D115),SIN($C$50)*SIN(C115)*COS($D$38)),$E$39+ATAN2(COS(ABS(I115)*SIN($B$71)/SIN($B$72)/$B$30)-SIN($D$39)*SIN(D115),SIN($C$54)*SIN(ABS(I115)*SIN($B$71)/SIN($B$72)/$B$30)*COS($D$39)))</f>
        <v>0.18800496570126193</v>
      </c>
      <c r="F115" s="14">
        <f t="shared" si="21"/>
        <v>45.862633015970509</v>
      </c>
      <c r="G115" s="14">
        <f t="shared" si="21"/>
        <v>10.771891062184107</v>
      </c>
      <c r="H115" s="39">
        <f t="shared" si="19"/>
        <v>306.36458137705955</v>
      </c>
      <c r="I115" s="39">
        <f>$E$50-H115</f>
        <v>148.21939910854559</v>
      </c>
      <c r="J115" s="20"/>
      <c r="K115" s="14">
        <f>IF(ROTTE!C165&lt;&gt;"",LN(TAN(D115/2+PI()/4)/TAN($D$77/2+PI()/4)),"")</f>
        <v>-9.0401081286398308E-6</v>
      </c>
      <c r="L115" s="14">
        <f>IF(ROTTE!D165&lt;&gt;"",E115-$E$77,"")</f>
        <v>6.6314649237647627E-5</v>
      </c>
      <c r="M115" s="14">
        <f t="shared" si="13"/>
        <v>-0.13548628254705078</v>
      </c>
      <c r="N115" s="70">
        <f t="shared" si="14"/>
        <v>-7.7627921718629951</v>
      </c>
      <c r="O115" s="39">
        <f t="shared" si="15"/>
        <v>297.0184455620489</v>
      </c>
      <c r="P115" s="20">
        <f t="shared" si="18"/>
        <v>65</v>
      </c>
      <c r="Q115" s="39">
        <f t="shared" si="16"/>
        <v>294.29649876569437</v>
      </c>
      <c r="R115" s="39">
        <f t="shared" si="17"/>
        <v>-40.118920951957826</v>
      </c>
      <c r="S115" s="39"/>
      <c r="T115" s="39">
        <f t="shared" si="12"/>
        <v>132.31610572921608</v>
      </c>
      <c r="V115" s="20"/>
      <c r="W115" s="20"/>
      <c r="X115" s="20"/>
      <c r="Y115" s="20"/>
      <c r="Z115" s="20"/>
      <c r="AA115" s="20"/>
      <c r="AB115" s="20"/>
      <c r="AC115" s="20"/>
      <c r="AD115" s="20"/>
    </row>
    <row r="116" spans="1:30" s="22" customFormat="1">
      <c r="A116" s="20">
        <f>A114+1</f>
        <v>20</v>
      </c>
      <c r="B116" s="20">
        <v>40</v>
      </c>
      <c r="C116" s="80">
        <f>$B$66*(A116-1)/$B$30</f>
        <v>5.0744564386107023E-5</v>
      </c>
      <c r="D116" s="70">
        <f>IF(I116&gt;=0,ASIN(SIN($D$38)*COS(C116)+COS($D$38)*SIN(C116)*COS($C$50)),ASIN(SIN($D$39)*COS(ABS(I116)*SIN($B$71)/SIN($B$72)/$B$30)+COS($D$39)*SIN(ABS(I116)*SIN($B$71)/SIN($B$72)/$B$30)*COS($C$54)))</f>
        <v>0.80045265096199081</v>
      </c>
      <c r="E116" s="70">
        <f>IF(I116&gt;=0,$E$38+ATAN2(COS(C116)-SIN($D$38)*SIN(D116),SIN($C$50)*SIN(C116)*COS($D$38)),$E$39+ATAN2(COS(ABS(I116)*SIN($B$71)/SIN($B$72)/$B$30)-SIN($D$39)*SIN(D116),SIN($C$54)*SIN(ABS(I116)*SIN($B$71)/SIN($B$72)/$B$30)*COS($D$39)))</f>
        <v>0.18800831686807928</v>
      </c>
      <c r="F116" s="14">
        <f t="shared" si="21"/>
        <v>45.862558600180463</v>
      </c>
      <c r="G116" s="14">
        <f t="shared" si="21"/>
        <v>10.772083069899185</v>
      </c>
      <c r="H116" s="39">
        <f t="shared" si="19"/>
        <v>323.38483589800728</v>
      </c>
      <c r="I116" s="39">
        <f>$E$50-H116</f>
        <v>131.19914458759786</v>
      </c>
      <c r="J116" s="20"/>
      <c r="K116" s="14">
        <f>IF(ROTTE!C166&lt;&gt;"",LN(TAN(D116/2+PI()/4)/TAN($D$77/2+PI()/4)),"")</f>
        <v>-1.0905178677220768E-5</v>
      </c>
      <c r="L116" s="14">
        <f>IF(ROTTE!D166&lt;&gt;"",E116-$E$77,"")</f>
        <v>6.9665816054997887E-5</v>
      </c>
      <c r="M116" s="14">
        <f t="shared" si="13"/>
        <v>-0.15527550033418872</v>
      </c>
      <c r="N116" s="70">
        <f t="shared" si="14"/>
        <v>-8.8966308309312172</v>
      </c>
      <c r="O116" s="39">
        <f t="shared" si="15"/>
        <v>312.93368240405954</v>
      </c>
      <c r="P116" s="20">
        <f t="shared" si="18"/>
        <v>66</v>
      </c>
      <c r="Q116" s="39">
        <f t="shared" si="16"/>
        <v>309.16876522642013</v>
      </c>
      <c r="R116" s="39">
        <f t="shared" si="17"/>
        <v>-48.395910894780272</v>
      </c>
      <c r="S116" s="39"/>
      <c r="T116" s="39">
        <f t="shared" si="12"/>
        <v>17.020366394188244</v>
      </c>
      <c r="V116" s="20"/>
      <c r="W116" s="20"/>
      <c r="X116" s="20"/>
      <c r="Y116" s="20"/>
      <c r="Z116" s="20"/>
      <c r="AA116" s="20"/>
      <c r="AB116" s="20"/>
      <c r="AC116" s="20"/>
      <c r="AD116" s="20"/>
    </row>
    <row r="117" spans="1:30" s="22" customFormat="1">
      <c r="A117" s="20">
        <f>A116</f>
        <v>20</v>
      </c>
      <c r="B117" s="20">
        <v>41</v>
      </c>
      <c r="C117" s="80">
        <f>$B$68*(A117-1)/$B$30</f>
        <v>5.2104786259623145E-5</v>
      </c>
      <c r="D117" s="70">
        <f>IF(I117&gt;=0,ASIN(SIN($D$37)*COS(C117)+COS($D$37)*SIN(C117)*COS($C$58)),ASIN(SIN($D$40)*COS(ABS(I117)*SIN($B$69)/SIN($B$70)/$B$30)+COS($D$40)*SIN(ABS(I117)*SIN($B$69)/SIN($B$70)/$B$30)*COS($C$62)))</f>
        <v>0.80046962878003391</v>
      </c>
      <c r="E117" s="70">
        <f>IF(I117&gt;=0,$E$37+ATAN2(COS(C117)-SIN($D$37)*SIN(D117),SIN($C$58)*SIN(C117)*COS($D$37)),$E$40+ATAN2(COS(ABS(I117)*SIN($B$69)/SIN($B$70)/$B$30)-SIN($D$40)*SIN(D117),SIN($C$62)*SIN(ABS(I117)*SIN($B$69)/SIN($B$70)/$B$30)*COS($D$40)))</f>
        <v>0.18802348836678254</v>
      </c>
      <c r="F117" s="14">
        <f t="shared" si="21"/>
        <v>45.863531357499681</v>
      </c>
      <c r="G117" s="14">
        <f t="shared" si="21"/>
        <v>10.77295233274377</v>
      </c>
      <c r="H117" s="39">
        <f t="shared" si="19"/>
        <v>332.05325452911336</v>
      </c>
      <c r="I117" s="39">
        <f>$E$58-H117</f>
        <v>115.70186181887095</v>
      </c>
      <c r="J117" s="20"/>
      <c r="K117" s="14">
        <f>IF(ROTTE!C167&lt;&gt;"",LN(TAN(D117/2+PI()/4)/TAN($D$77/2+PI()/4)),"")</f>
        <v>1.3475072933872584E-5</v>
      </c>
      <c r="L117" s="14">
        <f>IF(ROTTE!D167&lt;&gt;"",E117-$E$77,"")</f>
        <v>8.4837314758251514E-5</v>
      </c>
      <c r="M117" s="14">
        <f t="shared" si="13"/>
        <v>0.15751842343216901</v>
      </c>
      <c r="N117" s="70">
        <f t="shared" si="14"/>
        <v>9.0251408582178954</v>
      </c>
      <c r="O117" s="39">
        <f t="shared" si="15"/>
        <v>381.21442416526969</v>
      </c>
      <c r="P117" s="20">
        <f t="shared" si="18"/>
        <v>67</v>
      </c>
      <c r="Q117" s="39">
        <f t="shared" si="16"/>
        <v>376.49483844915915</v>
      </c>
      <c r="R117" s="39">
        <f t="shared" si="17"/>
        <v>59.800282715048475</v>
      </c>
      <c r="S117" s="39"/>
      <c r="T117" s="39">
        <f t="shared" si="12"/>
        <v>127.43318424668342</v>
      </c>
      <c r="V117" s="20"/>
      <c r="W117" s="20"/>
      <c r="X117" s="20"/>
      <c r="Y117" s="20"/>
      <c r="Z117" s="20"/>
      <c r="AA117" s="20"/>
      <c r="AB117" s="20"/>
      <c r="AC117" s="20"/>
      <c r="AD117" s="20"/>
    </row>
    <row r="118" spans="1:30" s="22" customFormat="1">
      <c r="A118" s="20">
        <f>A116+1</f>
        <v>21</v>
      </c>
      <c r="B118" s="20">
        <v>42</v>
      </c>
      <c r="C118" s="80">
        <f>$B$68*(A118-1)/$B$30</f>
        <v>5.4847143431182254E-5</v>
      </c>
      <c r="D118" s="70">
        <f>IF(I118&gt;=0,ASIN(SIN($D$37)*COS(C118)+COS($D$37)*SIN(C118)*COS($C$58)),ASIN(SIN($D$40)*COS(ABS(I118)*SIN($B$69)/SIN($B$70)/$B$30)+COS($D$40)*SIN(ABS(I118)*SIN($B$69)/SIN($B$70)/$B$30)*COS($C$62)))</f>
        <v>0.80046767941355323</v>
      </c>
      <c r="E118" s="70">
        <f>IF(I118&gt;=0,$E$37+ATAN2(COS(C118)-SIN($D$37)*SIN(D118),SIN($C$58)*SIN(C118)*COS($D$37)),$E$40+ATAN2(COS(ABS(I118)*SIN($B$69)/SIN($B$70)/$B$30)-SIN($D$40)*SIN(D118),SIN($C$62)*SIN(ABS(I118)*SIN($B$69)/SIN($B$70)/$B$30)*COS($D$40)))</f>
        <v>0.18802625824023719</v>
      </c>
      <c r="F118" s="14">
        <f t="shared" si="21"/>
        <v>45.863419667027614</v>
      </c>
      <c r="G118" s="14">
        <f t="shared" si="21"/>
        <v>10.773111034802509</v>
      </c>
      <c r="H118" s="39">
        <f t="shared" si="19"/>
        <v>349.52974160959297</v>
      </c>
      <c r="I118" s="39">
        <f>$E$58-H118</f>
        <v>98.225374738391338</v>
      </c>
      <c r="J118" s="20"/>
      <c r="K118" s="14">
        <f>IF(ROTTE!C168&lt;&gt;"",LN(TAN(D118/2+PI()/4)/TAN($D$77/2+PI()/4)),"")</f>
        <v>1.0675748945049098E-5</v>
      </c>
      <c r="L118" s="14">
        <f>IF(ROTTE!D168&lt;&gt;"",E118-$E$77,"")</f>
        <v>8.7607188212907028E-5</v>
      </c>
      <c r="M118" s="14">
        <f t="shared" si="13"/>
        <v>0.12126140810352887</v>
      </c>
      <c r="N118" s="70">
        <f t="shared" si="14"/>
        <v>6.947766902145684</v>
      </c>
      <c r="O118" s="39">
        <f t="shared" si="15"/>
        <v>391.66355923242423</v>
      </c>
      <c r="P118" s="20">
        <f t="shared" si="18"/>
        <v>68</v>
      </c>
      <c r="Q118" s="39">
        <f t="shared" si="16"/>
        <v>388.78751108673447</v>
      </c>
      <c r="R118" s="39">
        <f t="shared" si="17"/>
        <v>47.37736646958119</v>
      </c>
      <c r="S118" s="39"/>
      <c r="T118" s="39">
        <f t="shared" si="12"/>
        <v>17.476803157799999</v>
      </c>
      <c r="V118" s="20"/>
      <c r="W118" s="20"/>
      <c r="X118" s="20"/>
      <c r="Y118" s="20"/>
      <c r="Z118" s="20"/>
      <c r="AA118" s="20"/>
      <c r="AB118" s="20"/>
      <c r="AC118" s="20"/>
      <c r="AD118" s="20"/>
    </row>
    <row r="119" spans="1:30" s="22" customFormat="1">
      <c r="A119" s="20">
        <f>A118</f>
        <v>21</v>
      </c>
      <c r="B119" s="20">
        <v>43</v>
      </c>
      <c r="C119" s="80">
        <f>$B$66*(A119-1)/$B$30</f>
        <v>5.3415330932744237E-5</v>
      </c>
      <c r="D119" s="70">
        <f>IF(I119&gt;=0,ASIN(SIN($D$38)*COS(C119)+COS($D$38)*SIN(C119)*COS($C$50)),ASIN(SIN($D$39)*COS(ABS(I119)*SIN($B$71)/SIN($B$72)/$B$30)+COS($D$39)*SIN(ABS(I119)*SIN($B$71)/SIN($B$72)/$B$30)*COS($C$54)))</f>
        <v>0.80045135215582697</v>
      </c>
      <c r="E119" s="70">
        <f>IF(I119&gt;=0,$E$38+ATAN2(COS(C119)-SIN($D$38)*SIN(D119),SIN($C$50)*SIN(C119)*COS($D$38)),$E$39+ATAN2(COS(ABS(I119)*SIN($B$71)/SIN($B$72)/$B$30)-SIN($D$39)*SIN(D119),SIN($C$54)*SIN(ABS(I119)*SIN($B$71)/SIN($B$72)/$B$30)*COS($D$39)))</f>
        <v>0.18801166802592553</v>
      </c>
      <c r="F119" s="14">
        <f t="shared" si="21"/>
        <v>45.862484184068876</v>
      </c>
      <c r="G119" s="14">
        <f t="shared" si="21"/>
        <v>10.772275077100259</v>
      </c>
      <c r="H119" s="39">
        <f t="shared" si="19"/>
        <v>340.40509041895507</v>
      </c>
      <c r="I119" s="39">
        <f>$E$50-H119</f>
        <v>114.17889006665007</v>
      </c>
      <c r="J119" s="20"/>
      <c r="K119" s="14">
        <f>IF(ROTTE!C169&lt;&gt;"",LN(TAN(D119/2+PI()/4)/TAN($D$77/2+PI()/4)),"")</f>
        <v>-1.2770254788655668E-5</v>
      </c>
      <c r="L119" s="14">
        <f>IF(ROTTE!D169&lt;&gt;"",E119-$E$77,"")</f>
        <v>7.3016973901246507E-5</v>
      </c>
      <c r="M119" s="14">
        <f t="shared" si="13"/>
        <v>-0.17314313538644677</v>
      </c>
      <c r="N119" s="70">
        <f t="shared" si="14"/>
        <v>-9.9203709093056158</v>
      </c>
      <c r="O119" s="39">
        <f t="shared" si="15"/>
        <v>328.95959575745303</v>
      </c>
      <c r="P119" s="20">
        <f t="shared" si="18"/>
        <v>69</v>
      </c>
      <c r="Q119" s="39">
        <f t="shared" si="16"/>
        <v>324.04103672454056</v>
      </c>
      <c r="R119" s="39">
        <f t="shared" si="17"/>
        <v>-56.67294027480736</v>
      </c>
      <c r="S119" s="39"/>
      <c r="T119" s="39">
        <f t="shared" si="12"/>
        <v>122.55028468320904</v>
      </c>
      <c r="V119" s="20"/>
      <c r="W119" s="20"/>
      <c r="X119" s="20"/>
      <c r="Y119" s="20"/>
      <c r="Z119" s="20"/>
      <c r="AA119" s="20"/>
      <c r="AB119" s="20"/>
      <c r="AC119" s="20"/>
      <c r="AD119" s="20"/>
    </row>
    <row r="120" spans="1:30" s="22" customFormat="1">
      <c r="A120" s="20">
        <f>A118+1</f>
        <v>22</v>
      </c>
      <c r="B120" s="20">
        <v>44</v>
      </c>
      <c r="C120" s="80">
        <f>$B$66*(A120-1)/$B$30</f>
        <v>5.6086097479381451E-5</v>
      </c>
      <c r="D120" s="70">
        <f>IF(I120&gt;=0,ASIN(SIN($D$38)*COS(C120)+COS($D$38)*SIN(C120)*COS($C$50)),ASIN(SIN($D$39)*COS(ABS(I120)*SIN($B$71)/SIN($B$72)/$B$30)+COS($D$39)*SIN(ABS(I120)*SIN($B$71)/SIN($B$72)/$B$30)*COS($C$54)))</f>
        <v>0.80045005334405062</v>
      </c>
      <c r="E120" s="70">
        <f>IF(I120&gt;=0,$E$38+ATAN2(COS(C120)-SIN($D$38)*SIN(D120),SIN($C$50)*SIN(C120)*COS($D$38)),$E$39+ATAN2(COS(ABS(I120)*SIN($B$71)/SIN($B$72)/$B$30)-SIN($D$39)*SIN(D120),SIN($C$54)*SIN(ABS(I120)*SIN($B$71)/SIN($B$72)/$B$30)*COS($D$39)))</f>
        <v>0.18801501917480065</v>
      </c>
      <c r="F120" s="14">
        <f t="shared" si="21"/>
        <v>45.862409767635711</v>
      </c>
      <c r="G120" s="14">
        <f t="shared" si="21"/>
        <v>10.772467083787323</v>
      </c>
      <c r="H120" s="39">
        <f t="shared" si="19"/>
        <v>357.4253449399028</v>
      </c>
      <c r="I120" s="39">
        <f>$E$50-H120</f>
        <v>97.158635545702339</v>
      </c>
      <c r="J120" s="20"/>
      <c r="K120" s="14">
        <f>IF(ROTTE!C170&lt;&gt;"",LN(TAN(D120/2+PI()/4)/TAN($D$77/2+PI()/4)),"")</f>
        <v>-1.4635336462969168E-5</v>
      </c>
      <c r="L120" s="14">
        <f>IF(ROTTE!D170&lt;&gt;"",E120-$E$77,"")</f>
        <v>7.6368122776365732E-5</v>
      </c>
      <c r="M120" s="14">
        <f t="shared" si="13"/>
        <v>-0.18934621528837897</v>
      </c>
      <c r="N120" s="70">
        <f t="shared" si="14"/>
        <v>-10.848739002799579</v>
      </c>
      <c r="O120" s="39">
        <f t="shared" si="15"/>
        <v>345.08076616633986</v>
      </c>
      <c r="P120" s="20">
        <f t="shared" si="18"/>
        <v>70</v>
      </c>
      <c r="Q120" s="39">
        <f t="shared" si="16"/>
        <v>338.91330958482496</v>
      </c>
      <c r="R120" s="39">
        <f t="shared" si="17"/>
        <v>-64.950009732167899</v>
      </c>
      <c r="S120" s="39"/>
      <c r="T120" s="39">
        <f t="shared" si="12"/>
        <v>17.020410654056576</v>
      </c>
      <c r="V120" s="20"/>
      <c r="W120" s="20"/>
      <c r="X120" s="20"/>
      <c r="Y120" s="20"/>
      <c r="Z120" s="20"/>
      <c r="AA120" s="20"/>
      <c r="AB120" s="20"/>
      <c r="AC120" s="20"/>
      <c r="AD120" s="20"/>
    </row>
    <row r="121" spans="1:30" s="22" customFormat="1">
      <c r="A121" s="20">
        <f>A120</f>
        <v>22</v>
      </c>
      <c r="B121" s="20">
        <v>45</v>
      </c>
      <c r="C121" s="80">
        <f>$B$68*(A121-1)/$B$30</f>
        <v>5.7589500602741369E-5</v>
      </c>
      <c r="D121" s="70">
        <f>IF(I121&gt;=0,ASIN(SIN($D$37)*COS(C121)+COS($D$37)*SIN(C121)*COS($C$58)),ASIN(SIN($D$40)*COS(ABS(I121)*SIN($B$69)/SIN($B$70)/$B$30)+COS($D$40)*SIN(ABS(I121)*SIN($B$69)/SIN($B$70)/$B$30)*COS($C$62)))</f>
        <v>0.8004657300432384</v>
      </c>
      <c r="E121" s="70">
        <f>IF(I121&gt;=0,$E$37+ATAN2(COS(C121)-SIN($D$37)*SIN(D121),SIN($C$58)*SIN(C121)*COS($D$37)),$E$40+ATAN2(COS(ABS(I121)*SIN($B$69)/SIN($B$70)/$B$30)-SIN($D$40)*SIN(D121),SIN($C$62)*SIN(ABS(I121)*SIN($B$69)/SIN($B$70)/$B$30)*COS($D$40)))</f>
        <v>0.18802902810256236</v>
      </c>
      <c r="F121" s="14">
        <f t="shared" si="21"/>
        <v>45.863307976335868</v>
      </c>
      <c r="G121" s="14">
        <f t="shared" si="21"/>
        <v>10.773269736223572</v>
      </c>
      <c r="H121" s="39">
        <f t="shared" si="19"/>
        <v>367.00622869007265</v>
      </c>
      <c r="I121" s="39">
        <f>$E$58-H121</f>
        <v>80.748887657911666</v>
      </c>
      <c r="J121" s="20"/>
      <c r="K121" s="14">
        <f>IF(ROTTE!C171&lt;&gt;"",LN(TAN(D121/2+PI()/4)/TAN($D$77/2+PI()/4)),"")</f>
        <v>7.8764250737860274E-6</v>
      </c>
      <c r="L121" s="14">
        <f>IF(ROTTE!D171&lt;&gt;"",E121-$E$77,"")</f>
        <v>9.037705053807632E-5</v>
      </c>
      <c r="M121" s="14">
        <f t="shared" si="13"/>
        <v>8.6931076832526252E-2</v>
      </c>
      <c r="N121" s="70">
        <f t="shared" si="14"/>
        <v>4.9807838110312428</v>
      </c>
      <c r="O121" s="39">
        <f t="shared" si="15"/>
        <v>402.60039690555027</v>
      </c>
      <c r="P121" s="20">
        <f t="shared" si="18"/>
        <v>71</v>
      </c>
      <c r="Q121" s="39">
        <f t="shared" si="16"/>
        <v>401.08012661984003</v>
      </c>
      <c r="R121" s="39">
        <f t="shared" si="17"/>
        <v>34.954422025255703</v>
      </c>
      <c r="S121" s="39"/>
      <c r="T121" s="39">
        <f t="shared" si="12"/>
        <v>117.66736431584906</v>
      </c>
      <c r="V121" s="20"/>
      <c r="W121" s="20"/>
      <c r="X121" s="20"/>
      <c r="Y121" s="20"/>
      <c r="Z121" s="20"/>
      <c r="AA121" s="20"/>
      <c r="AB121" s="20"/>
      <c r="AC121" s="20"/>
      <c r="AD121" s="20"/>
    </row>
    <row r="122" spans="1:30" s="22" customFormat="1">
      <c r="A122" s="20">
        <f>A120+1</f>
        <v>23</v>
      </c>
      <c r="B122" s="20">
        <v>46</v>
      </c>
      <c r="C122" s="80">
        <f>$B$68*(A122-1)/$B$30</f>
        <v>6.0331857774300484E-5</v>
      </c>
      <c r="D122" s="70">
        <f>IF(I122&gt;=0,ASIN(SIN($D$37)*COS(C122)+COS($D$37)*SIN(C122)*COS($C$58)),ASIN(SIN($D$40)*COS(ABS(I122)*SIN($B$69)/SIN($B$70)/$B$30)+COS($D$40)*SIN(ABS(I122)*SIN($B$69)/SIN($B$70)/$B$30)*COS($C$62)))</f>
        <v>0.80046378066908908</v>
      </c>
      <c r="E122" s="70">
        <f>IF(I122&gt;=0,$E$37+ATAN2(COS(C122)-SIN($D$37)*SIN(D122),SIN($C$58)*SIN(C122)*COS($D$37)),$E$40+ATAN2(COS(ABS(I122)*SIN($B$69)/SIN($B$70)/$B$30)-SIN($D$40)*SIN(D122),SIN($C$62)*SIN(ABS(I122)*SIN($B$69)/SIN($B$70)/$B$30)*COS($D$40)))</f>
        <v>0.18803179795375816</v>
      </c>
      <c r="F122" s="14">
        <f t="shared" si="21"/>
        <v>45.863196285424415</v>
      </c>
      <c r="G122" s="14">
        <f t="shared" si="21"/>
        <v>10.773428437006972</v>
      </c>
      <c r="H122" s="39">
        <f t="shared" si="19"/>
        <v>384.48271577055232</v>
      </c>
      <c r="I122" s="39">
        <f>$E$58-H122</f>
        <v>63.272400577431995</v>
      </c>
      <c r="J122" s="20"/>
      <c r="K122" s="14">
        <f>IF(ROTTE!C172&lt;&gt;"",LN(TAN(D122/2+PI()/4)/TAN($D$77/2+PI()/4)),"")</f>
        <v>5.0771013203283385E-6</v>
      </c>
      <c r="L122" s="14">
        <f>IF(ROTTE!D172&lt;&gt;"",E122-$E$77,"")</f>
        <v>9.3146901733870413E-5</v>
      </c>
      <c r="M122" s="14">
        <f t="shared" si="13"/>
        <v>5.4452507141042085E-2</v>
      </c>
      <c r="N122" s="70">
        <f t="shared" si="14"/>
        <v>3.1198988430876877</v>
      </c>
      <c r="O122" s="39">
        <f t="shared" si="15"/>
        <v>413.98634054446438</v>
      </c>
      <c r="P122" s="20">
        <f t="shared" si="18"/>
        <v>72</v>
      </c>
      <c r="Q122" s="39">
        <f t="shared" si="16"/>
        <v>413.37274179596278</v>
      </c>
      <c r="R122" s="39">
        <f t="shared" si="17"/>
        <v>22.53145573382908</v>
      </c>
      <c r="S122" s="39"/>
      <c r="T122" s="39">
        <f t="shared" si="12"/>
        <v>17.476798315085219</v>
      </c>
      <c r="V122" s="20"/>
      <c r="W122" s="20"/>
      <c r="X122" s="20"/>
      <c r="Y122" s="20"/>
      <c r="Z122" s="20"/>
      <c r="AA122" s="20"/>
      <c r="AB122" s="20"/>
      <c r="AC122" s="20"/>
      <c r="AD122" s="20"/>
    </row>
    <row r="123" spans="1:30" s="22" customFormat="1">
      <c r="A123" s="20">
        <f>A122</f>
        <v>23</v>
      </c>
      <c r="B123" s="20">
        <v>47</v>
      </c>
      <c r="C123" s="80">
        <f>$B$66*(A123-1)/$B$30</f>
        <v>5.8756864026018658E-5</v>
      </c>
      <c r="D123" s="70">
        <f>IF(I123&gt;=0,ASIN(SIN($D$38)*COS(C123)+COS($D$38)*SIN(C123)*COS($C$50)),ASIN(SIN($D$39)*COS(ABS(I123)*SIN($B$71)/SIN($B$72)/$B$30)+COS($D$39)*SIN(ABS(I123)*SIN($B$71)/SIN($B$72)/$B$30)*COS($C$54)))</f>
        <v>0.80044875452666131</v>
      </c>
      <c r="E123" s="70">
        <f>IF(I123&gt;=0,$E$38+ATAN2(COS(C123)-SIN($D$38)*SIN(D123),SIN($C$50)*SIN(C123)*COS($D$38)),$E$39+ATAN2(COS(ABS(I123)*SIN($B$71)/SIN($B$72)/$B$30)-SIN($D$39)*SIN(D123),SIN($C$54)*SIN(ABS(I123)*SIN($B$71)/SIN($B$72)/$B$30)*COS($D$39)))</f>
        <v>0.18801837031470467</v>
      </c>
      <c r="F123" s="14">
        <f t="shared" si="21"/>
        <v>45.862335350880947</v>
      </c>
      <c r="G123" s="14">
        <f t="shared" si="21"/>
        <v>10.772659089960381</v>
      </c>
      <c r="H123" s="39">
        <f t="shared" si="19"/>
        <v>374.44559946085053</v>
      </c>
      <c r="I123" s="39">
        <f>$E$50-H123</f>
        <v>80.138381024754608</v>
      </c>
      <c r="J123" s="20"/>
      <c r="K123" s="14">
        <f>IF(ROTTE!C173&lt;&gt;"",LN(TAN(D123/2+PI()/4)/TAN($D$77/2+PI()/4)),"")</f>
        <v>-1.650042370085205E-5</v>
      </c>
      <c r="L123" s="14">
        <f>IF(ROTTE!D173&lt;&gt;"",E123-$E$77,"")</f>
        <v>7.9719262680383318E-5</v>
      </c>
      <c r="M123" s="14">
        <f t="shared" si="13"/>
        <v>-0.20409957335881018</v>
      </c>
      <c r="N123" s="70">
        <f t="shared" si="14"/>
        <v>-11.69404415388056</v>
      </c>
      <c r="O123" s="39">
        <f t="shared" si="15"/>
        <v>361.28439230440881</v>
      </c>
      <c r="P123" s="20">
        <f t="shared" si="18"/>
        <v>73</v>
      </c>
      <c r="Q123" s="39">
        <f t="shared" si="16"/>
        <v>353.78553187140778</v>
      </c>
      <c r="R123" s="39">
        <f t="shared" si="17"/>
        <v>-73.227109469315224</v>
      </c>
      <c r="S123" s="39"/>
      <c r="T123" s="39">
        <f t="shared" si="12"/>
        <v>112.78447763924707</v>
      </c>
      <c r="V123" s="20"/>
      <c r="W123" s="20"/>
      <c r="X123" s="20"/>
      <c r="Y123" s="20"/>
      <c r="Z123" s="20"/>
      <c r="AA123" s="20"/>
      <c r="AB123" s="20"/>
      <c r="AC123" s="20"/>
      <c r="AD123" s="20"/>
    </row>
    <row r="124" spans="1:30" s="22" customFormat="1">
      <c r="A124" s="20">
        <f>A122+1</f>
        <v>24</v>
      </c>
      <c r="B124" s="20">
        <v>48</v>
      </c>
      <c r="C124" s="80">
        <f>$B$66*(A124-1)/$B$30</f>
        <v>6.1427630572655879E-5</v>
      </c>
      <c r="D124" s="70">
        <f>IF(I124&gt;=0,ASIN(SIN($D$38)*COS(C124)+COS($D$38)*SIN(C124)*COS($C$50)),ASIN(SIN($D$39)*COS(ABS(I124)*SIN($B$71)/SIN($B$72)/$B$30)+COS($D$39)*SIN(ABS(I124)*SIN($B$71)/SIN($B$72)/$B$30)*COS($C$54)))</f>
        <v>0.80044745570365983</v>
      </c>
      <c r="E124" s="70">
        <f>IF(I124&gt;=0,$E$38+ATAN2(COS(C124)-SIN($D$38)*SIN(D124),SIN($C$50)*SIN(C124)*COS($D$38)),$E$39+ATAN2(COS(ABS(I124)*SIN($B$71)/SIN($B$72)/$B$30)-SIN($D$39)*SIN(D124),SIN($C$54)*SIN(ABS(I124)*SIN($B$71)/SIN($B$72)/$B$30)*COS($D$39)))</f>
        <v>0.18802172144563759</v>
      </c>
      <c r="F124" s="14">
        <f t="shared" si="21"/>
        <v>45.862260933804627</v>
      </c>
      <c r="G124" s="14">
        <f t="shared" si="21"/>
        <v>10.772851095619433</v>
      </c>
      <c r="H124" s="39">
        <f t="shared" si="19"/>
        <v>391.46585398179832</v>
      </c>
      <c r="I124" s="39">
        <f>$E$50-H124</f>
        <v>63.11812650380682</v>
      </c>
      <c r="J124" s="20"/>
      <c r="K124" s="14">
        <f>IF(ROTTE!C174&lt;&gt;"",LN(TAN(D124/2+PI()/4)/TAN($D$77/2+PI()/4)),"")</f>
        <v>-1.836551650177384E-5</v>
      </c>
      <c r="L124" s="14">
        <f>IF(ROTTE!D174&lt;&gt;"",E124-$E$77,"")</f>
        <v>8.3070393613299265E-5</v>
      </c>
      <c r="M124" s="14">
        <f t="shared" si="13"/>
        <v>-0.21758381479699151</v>
      </c>
      <c r="N124" s="70">
        <f t="shared" si="14"/>
        <v>-12.466634278223765</v>
      </c>
      <c r="O124" s="39">
        <f t="shared" si="15"/>
        <v>377.55988202117055</v>
      </c>
      <c r="P124" s="20">
        <f t="shared" si="18"/>
        <v>74</v>
      </c>
      <c r="Q124" s="39">
        <f t="shared" si="16"/>
        <v>368.65773109349635</v>
      </c>
      <c r="R124" s="39">
        <f t="shared" si="17"/>
        <v>-81.504244164555928</v>
      </c>
      <c r="S124" s="39"/>
      <c r="T124" s="39">
        <f t="shared" si="12"/>
        <v>17.020378035303718</v>
      </c>
      <c r="V124" s="20"/>
      <c r="W124" s="20"/>
      <c r="X124" s="20"/>
      <c r="Y124" s="20"/>
      <c r="Z124" s="20"/>
      <c r="AA124" s="20"/>
      <c r="AB124" s="20"/>
      <c r="AC124" s="20"/>
      <c r="AD124" s="20"/>
    </row>
    <row r="125" spans="1:30" s="22" customFormat="1">
      <c r="A125" s="20">
        <f>A124</f>
        <v>24</v>
      </c>
      <c r="B125" s="20">
        <v>49</v>
      </c>
      <c r="C125" s="80">
        <f>$B$68*(A125-1)/$B$30</f>
        <v>6.30742149458596E-5</v>
      </c>
      <c r="D125" s="70">
        <f>IF(I125&gt;=0,ASIN(SIN($D$37)*COS(C125)+COS($D$37)*SIN(C125)*COS($C$58)),ASIN(SIN($D$40)*COS(ABS(I125)*SIN($B$69)/SIN($B$70)/$B$30)+COS($D$40)*SIN(ABS(I125)*SIN($B$69)/SIN($B$70)/$B$30)*COS($C$62)))</f>
        <v>0.80046183129110549</v>
      </c>
      <c r="E125" s="70">
        <f>IF(I125&gt;=0,$E$37+ATAN2(COS(C125)-SIN($D$37)*SIN(D125),SIN($C$58)*SIN(C125)*COS($D$37)),$E$40+ATAN2(COS(ABS(I125)*SIN($B$69)/SIN($B$70)/$B$30)-SIN($D$40)*SIN(D125),SIN($C$62)*SIN(ABS(I125)*SIN($B$69)/SIN($B$70)/$B$30)*COS($D$40)))</f>
        <v>0.1880345677938246</v>
      </c>
      <c r="F125" s="14">
        <f t="shared" ref="F125:G140" si="22">D125*180/PI()</f>
        <v>45.863084594293284</v>
      </c>
      <c r="G125" s="14">
        <f t="shared" si="22"/>
        <v>10.773587137152704</v>
      </c>
      <c r="H125" s="39">
        <f t="shared" si="19"/>
        <v>401.95920285103199</v>
      </c>
      <c r="I125" s="39">
        <f>$E$58-H125</f>
        <v>45.795913496952323</v>
      </c>
      <c r="J125" s="20"/>
      <c r="K125" s="14">
        <f>IF(ROTTE!C175&lt;&gt;"",LN(TAN(D125/2+PI()/4)/TAN($D$77/2+PI()/4)),"")</f>
        <v>2.2777776849210005E-6</v>
      </c>
      <c r="L125" s="14">
        <f>IF(ROTTE!D175&lt;&gt;"",E125-$E$77,"")</f>
        <v>9.5916741800317062E-5</v>
      </c>
      <c r="M125" s="14">
        <f t="shared" si="13"/>
        <v>2.3742983856932416E-2</v>
      </c>
      <c r="N125" s="70">
        <f t="shared" si="14"/>
        <v>1.3603727680494726</v>
      </c>
      <c r="O125" s="39">
        <f t="shared" si="15"/>
        <v>425.78534180890523</v>
      </c>
      <c r="P125" s="20">
        <f t="shared" si="18"/>
        <v>75</v>
      </c>
      <c r="Q125" s="39">
        <f t="shared" si="16"/>
        <v>425.66533361413826</v>
      </c>
      <c r="R125" s="39">
        <f t="shared" si="17"/>
        <v>10.108464695029205</v>
      </c>
      <c r="S125" s="39"/>
      <c r="T125" s="39">
        <f t="shared" si="12"/>
        <v>107.90159947722093</v>
      </c>
      <c r="V125" s="20"/>
      <c r="W125" s="20"/>
      <c r="X125" s="20"/>
      <c r="Y125" s="20"/>
      <c r="Z125" s="20"/>
      <c r="AA125" s="20"/>
      <c r="AB125" s="20"/>
      <c r="AC125" s="20"/>
      <c r="AD125" s="20"/>
    </row>
    <row r="126" spans="1:30" s="22" customFormat="1">
      <c r="A126" s="20">
        <f>A124+1</f>
        <v>25</v>
      </c>
      <c r="B126" s="20">
        <v>50</v>
      </c>
      <c r="C126" s="80">
        <f>$B$68*(A126-1)/$B$30</f>
        <v>6.5816572117418715E-5</v>
      </c>
      <c r="D126" s="70">
        <f>IF(I126&gt;=0,ASIN(SIN($D$37)*COS(C126)+COS($D$37)*SIN(C126)*COS($C$58)),ASIN(SIN($D$40)*COS(ABS(I126)*SIN($B$69)/SIN($B$70)/$B$30)+COS($D$40)*SIN(ABS(I126)*SIN($B$69)/SIN($B$70)/$B$30)*COS($C$62)))</f>
        <v>0.80045988190928763</v>
      </c>
      <c r="E126" s="70">
        <f>IF(I126&gt;=0,$E$37+ATAN2(COS(C126)-SIN($D$37)*SIN(D126),SIN($C$58)*SIN(C126)*COS($D$37)),$E$40+ATAN2(COS(ABS(I126)*SIN($B$69)/SIN($B$70)/$B$30)-SIN($D$40)*SIN(D126),SIN($C$62)*SIN(ABS(I126)*SIN($B$69)/SIN($B$70)/$B$30)*COS($D$40)))</f>
        <v>0.18803733762276181</v>
      </c>
      <c r="F126" s="14">
        <f t="shared" si="22"/>
        <v>45.86297290294246</v>
      </c>
      <c r="G126" s="14">
        <f t="shared" si="22"/>
        <v>10.773745836660781</v>
      </c>
      <c r="H126" s="39">
        <f t="shared" si="19"/>
        <v>419.4356899315116</v>
      </c>
      <c r="I126" s="39">
        <f>$E$58-H126</f>
        <v>28.319426416472709</v>
      </c>
      <c r="J126" s="20"/>
      <c r="K126" s="14">
        <f>IF(ROTTE!C176&lt;&gt;"",LN(TAN(D126/2+PI()/4)/TAN($D$77/2+PI()/4)),"")</f>
        <v>-5.2154583285714793E-7</v>
      </c>
      <c r="L126" s="14">
        <f>IF(ROTTE!D176&lt;&gt;"",E126-$E$77,"")</f>
        <v>9.868657073752729E-5</v>
      </c>
      <c r="M126" s="14">
        <f t="shared" si="13"/>
        <v>-5.2848221746130304E-3</v>
      </c>
      <c r="N126" s="70">
        <f t="shared" si="14"/>
        <v>-0.30279800608247642</v>
      </c>
      <c r="O126" s="39">
        <f t="shared" si="15"/>
        <v>437.96400765152487</v>
      </c>
      <c r="P126" s="20">
        <f t="shared" si="18"/>
        <v>76</v>
      </c>
      <c r="Q126" s="39">
        <f t="shared" si="16"/>
        <v>437.95789164173453</v>
      </c>
      <c r="R126" s="39">
        <f t="shared" si="17"/>
        <v>-2.3145511253010858</v>
      </c>
      <c r="S126" s="39"/>
      <c r="T126" s="39">
        <f t="shared" si="12"/>
        <v>17.476793325264172</v>
      </c>
      <c r="V126" s="20"/>
      <c r="W126" s="20"/>
      <c r="X126" s="20"/>
      <c r="Y126" s="20"/>
      <c r="Z126" s="20"/>
      <c r="AA126" s="20"/>
      <c r="AB126" s="20"/>
      <c r="AC126" s="20"/>
      <c r="AD126" s="20"/>
    </row>
    <row r="127" spans="1:30" s="22" customFormat="1">
      <c r="A127" s="20">
        <f>A126</f>
        <v>25</v>
      </c>
      <c r="B127" s="20">
        <v>51</v>
      </c>
      <c r="C127" s="80">
        <f>$B$66*(A127-1)/$B$30</f>
        <v>6.4098397119293079E-5</v>
      </c>
      <c r="D127" s="70">
        <f>IF(I127&gt;=0,ASIN(SIN($D$38)*COS(C127)+COS($D$38)*SIN(C127)*COS($C$50)),ASIN(SIN($D$39)*COS(ABS(I127)*SIN($B$71)/SIN($B$72)/$B$30)+COS($D$39)*SIN(ABS(I127)*SIN($B$71)/SIN($B$72)/$B$30)*COS($C$54)))</f>
        <v>0.80044615687504561</v>
      </c>
      <c r="E127" s="70">
        <f>IF(I127&gt;=0,$E$38+ATAN2(COS(C127)-SIN($D$38)*SIN(D127),SIN($C$50)*SIN(C127)*COS($D$38)),$E$39+ATAN2(COS(ABS(I127)*SIN($B$71)/SIN($B$72)/$B$30)-SIN($D$39)*SIN(D127),SIN($C$54)*SIN(ABS(I127)*SIN($B$71)/SIN($B$72)/$B$30)*COS($D$39)))</f>
        <v>0.1880250725675994</v>
      </c>
      <c r="F127" s="14">
        <f t="shared" si="22"/>
        <v>45.862186516406716</v>
      </c>
      <c r="G127" s="14">
        <f t="shared" si="22"/>
        <v>10.773043100764479</v>
      </c>
      <c r="H127" s="39">
        <f t="shared" si="19"/>
        <v>408.48610850274605</v>
      </c>
      <c r="I127" s="39">
        <f>$E$50-H127</f>
        <v>46.09787198285909</v>
      </c>
      <c r="J127" s="20"/>
      <c r="K127" s="14">
        <f>IF(ROTTE!C177&lt;&gt;"",LN(TAN(D127/2+PI()/4)/TAN($D$77/2+PI()/4)),"")</f>
        <v>-2.0230614865870192E-5</v>
      </c>
      <c r="L127" s="14">
        <f>IF(ROTTE!D177&lt;&gt;"",E127-$E$77,"")</f>
        <v>8.6421515575113572E-5</v>
      </c>
      <c r="M127" s="14">
        <f t="shared" si="13"/>
        <v>-0.22995162956598739</v>
      </c>
      <c r="N127" s="70">
        <f t="shared" si="14"/>
        <v>-13.175257866286797</v>
      </c>
      <c r="O127" s="39">
        <f t="shared" si="15"/>
        <v>393.89832741957758</v>
      </c>
      <c r="P127" s="20">
        <f t="shared" si="18"/>
        <v>77</v>
      </c>
      <c r="Q127" s="39">
        <f t="shared" si="16"/>
        <v>383.52990767188953</v>
      </c>
      <c r="R127" s="39">
        <f t="shared" si="17"/>
        <v>-89.781413806715165</v>
      </c>
      <c r="S127" s="39"/>
      <c r="T127" s="39">
        <f t="shared" si="12"/>
        <v>103.01872405709096</v>
      </c>
      <c r="V127" s="20"/>
      <c r="W127" s="20"/>
      <c r="X127" s="20"/>
      <c r="Y127" s="20"/>
      <c r="Z127" s="20"/>
      <c r="AA127" s="20"/>
      <c r="AB127" s="20"/>
      <c r="AC127" s="20"/>
      <c r="AD127" s="20"/>
    </row>
    <row r="128" spans="1:30" s="22" customFormat="1">
      <c r="A128" s="20">
        <f>A126+1</f>
        <v>26</v>
      </c>
      <c r="B128" s="20">
        <v>52</v>
      </c>
      <c r="C128" s="80">
        <f>$B$66*(A128-1)/$B$30</f>
        <v>6.6769163665930293E-5</v>
      </c>
      <c r="D128" s="70">
        <f>IF(I128&gt;=0,ASIN(SIN($D$38)*COS(C128)+COS($D$38)*SIN(C128)*COS($C$50)),ASIN(SIN($D$39)*COS(ABS(I128)*SIN($B$71)/SIN($B$72)/$B$30)+COS($D$39)*SIN(ABS(I128)*SIN($B$71)/SIN($B$72)/$B$30)*COS($C$54)))</f>
        <v>0.80044485804081911</v>
      </c>
      <c r="E128" s="70">
        <f>IF(I128&gt;=0,$E$38+ATAN2(COS(C128)-SIN($D$38)*SIN(D128),SIN($C$50)*SIN(C128)*COS($D$38)),$E$39+ATAN2(COS(ABS(I128)*SIN($B$71)/SIN($B$72)/$B$30)-SIN($D$39)*SIN(D128),SIN($C$54)*SIN(ABS(I128)*SIN($B$71)/SIN($B$72)/$B$30)*COS($D$39)))</f>
        <v>0.18802842368059014</v>
      </c>
      <c r="F128" s="14">
        <f t="shared" si="22"/>
        <v>45.862112098687255</v>
      </c>
      <c r="G128" s="14">
        <f t="shared" si="22"/>
        <v>10.77323510539552</v>
      </c>
      <c r="H128" s="39">
        <f t="shared" si="19"/>
        <v>425.50636302369378</v>
      </c>
      <c r="I128" s="39">
        <f>$E$50-H128</f>
        <v>29.077617461911359</v>
      </c>
      <c r="J128" s="20"/>
      <c r="K128" s="14">
        <f>IF(ROTTE!C178&lt;&gt;"",LN(TAN(D128/2+PI()/4)/TAN($D$77/2+PI()/4)),"")</f>
        <v>-2.209571879238858E-5</v>
      </c>
      <c r="L128" s="14">
        <f>IF(ROTTE!D178&lt;&gt;"",E128-$E$77,"")</f>
        <v>8.9772628565853996E-5</v>
      </c>
      <c r="M128" s="14">
        <f t="shared" si="13"/>
        <v>-0.24133281467236609</v>
      </c>
      <c r="N128" s="70">
        <f t="shared" si="14"/>
        <v>-13.827351738739445</v>
      </c>
      <c r="O128" s="39">
        <f t="shared" si="15"/>
        <v>410.29222958301369</v>
      </c>
      <c r="P128" s="20">
        <f t="shared" si="18"/>
        <v>78</v>
      </c>
      <c r="Q128" s="39">
        <f t="shared" si="16"/>
        <v>398.40208330669554</v>
      </c>
      <c r="R128" s="39">
        <f t="shared" si="17"/>
        <v>-98.058623654858906</v>
      </c>
      <c r="S128" s="39"/>
      <c r="T128" s="39">
        <f t="shared" si="12"/>
        <v>17.02039397260608</v>
      </c>
      <c r="V128" s="20"/>
      <c r="W128" s="20"/>
      <c r="X128" s="20"/>
      <c r="Y128" s="20"/>
      <c r="Z128" s="20"/>
      <c r="AA128" s="20"/>
      <c r="AB128" s="20"/>
      <c r="AC128" s="20"/>
      <c r="AD128" s="20"/>
    </row>
    <row r="129" spans="1:30" s="22" customFormat="1">
      <c r="A129" s="20">
        <f>A128</f>
        <v>26</v>
      </c>
      <c r="B129" s="20">
        <v>53</v>
      </c>
      <c r="C129" s="80">
        <f>$B$68*(A129-1)/$B$30</f>
        <v>6.8558929288977831E-5</v>
      </c>
      <c r="D129" s="70">
        <f>IF(I129&gt;=0,ASIN(SIN($D$37)*COS(C129)+COS($D$37)*SIN(C129)*COS($C$58)),ASIN(SIN($D$40)*COS(ABS(I129)*SIN($B$69)/SIN($B$70)/$B$30)+COS($D$40)*SIN(ABS(I129)*SIN($B$69)/SIN($B$70)/$B$30)*COS($C$62)))</f>
        <v>0.80045793252363551</v>
      </c>
      <c r="E129" s="70">
        <f>IF(I129&gt;=0,$E$37+ATAN2(COS(C129)-SIN($D$37)*SIN(D129),SIN($C$58)*SIN(C129)*COS($D$37)),$E$40+ATAN2(COS(ABS(I129)*SIN($B$69)/SIN($B$70)/$B$30)-SIN($D$40)*SIN(D129),SIN($C$62)*SIN(ABS(I129)*SIN($B$69)/SIN($B$70)/$B$30)*COS($D$40)))</f>
        <v>0.18804010744056981</v>
      </c>
      <c r="F129" s="14">
        <f t="shared" si="22"/>
        <v>45.86286121137195</v>
      </c>
      <c r="G129" s="14">
        <f t="shared" si="22"/>
        <v>10.7739045355312</v>
      </c>
      <c r="H129" s="39">
        <f t="shared" si="19"/>
        <v>436.91217701199128</v>
      </c>
      <c r="I129" s="39">
        <f>$E$58-H129</f>
        <v>10.842939335993037</v>
      </c>
      <c r="J129" s="20"/>
      <c r="K129" s="14">
        <f>IF(ROTTE!C179&lt;&gt;"",LN(TAN(D129/2+PI()/4)/TAN($D$77/2+PI()/4)),"")</f>
        <v>-3.3208692332052284E-6</v>
      </c>
      <c r="L129" s="14">
        <f>IF(ROTTE!D179&lt;&gt;"",E129-$E$77,"")</f>
        <v>1.0145638854552885E-4</v>
      </c>
      <c r="M129" s="14">
        <f t="shared" si="13"/>
        <v>-3.2720305426911109E-2</v>
      </c>
      <c r="N129" s="70">
        <f t="shared" si="14"/>
        <v>-1.8747354053410099</v>
      </c>
      <c r="O129" s="39">
        <f t="shared" si="15"/>
        <v>450.49155738116883</v>
      </c>
      <c r="P129" s="20">
        <f t="shared" si="18"/>
        <v>79</v>
      </c>
      <c r="Q129" s="39">
        <f t="shared" si="16"/>
        <v>450.2504266232603</v>
      </c>
      <c r="R129" s="39">
        <f t="shared" si="17"/>
        <v>-14.737591298548219</v>
      </c>
      <c r="S129" s="39"/>
      <c r="T129" s="39">
        <f t="shared" si="12"/>
        <v>98.135850419679642</v>
      </c>
      <c r="V129" s="20"/>
      <c r="W129" s="20"/>
      <c r="X129" s="20"/>
      <c r="Y129" s="20"/>
      <c r="Z129" s="20"/>
      <c r="AA129" s="20"/>
      <c r="AB129" s="20"/>
      <c r="AC129" s="20"/>
      <c r="AD129" s="20"/>
    </row>
    <row r="130" spans="1:30" s="22" customFormat="1">
      <c r="A130" s="20">
        <f>A128+1</f>
        <v>27</v>
      </c>
      <c r="B130" s="20">
        <v>54</v>
      </c>
      <c r="C130" s="80">
        <f>$B$68*(A130-1)/$B$30</f>
        <v>7.1301286460536932E-5</v>
      </c>
      <c r="D130" s="70">
        <f>IF(I130&gt;=0,ASIN(SIN($D$37)*COS(C130)+COS($D$37)*SIN(C130)*COS($C$58)),ASIN(SIN($D$40)*COS(ABS(I130)*SIN($B$69)/SIN($B$70)/$B$30)+COS($D$40)*SIN(ABS(I130)*SIN($B$69)/SIN($B$70)/$B$30)*COS($C$62)))</f>
        <v>0.80045180849784059</v>
      </c>
      <c r="E130" s="70">
        <f>IF(I130&gt;=0,$E$37+ATAN2(COS(C130)-SIN($D$37)*SIN(D130),SIN($C$58)*SIN(C130)*COS($D$37)),$E$40+ATAN2(COS(ABS(I130)*SIN($B$69)/SIN($B$70)/$B$30)-SIN($D$40)*SIN(D130),SIN($C$62)*SIN(ABS(I130)*SIN($B$69)/SIN($B$70)/$B$30)*COS($D$40)))</f>
        <v>0.18803914790013332</v>
      </c>
      <c r="F130" s="14">
        <f t="shared" si="22"/>
        <v>45.862510330540275</v>
      </c>
      <c r="G130" s="14">
        <f t="shared" si="22"/>
        <v>10.773849557913914</v>
      </c>
      <c r="H130" s="39">
        <f t="shared" si="19"/>
        <v>454.38866409247089</v>
      </c>
      <c r="I130" s="39">
        <f>$E$58-H130</f>
        <v>-6.6335477444865774</v>
      </c>
      <c r="J130" s="20"/>
      <c r="K130" s="14">
        <f>IF(ROTTE!C180&lt;&gt;"",LN(TAN(D130/2+PI()/4)/TAN($D$77/2+PI()/4)),"")</f>
        <v>-1.2114951293591097E-5</v>
      </c>
      <c r="L130" s="14">
        <f>IF(ROTTE!D180&lt;&gt;"",E130-$E$77,"")</f>
        <v>1.0049684810903292E-4</v>
      </c>
      <c r="M130" s="14">
        <f t="shared" si="13"/>
        <v>-0.11997163486103124</v>
      </c>
      <c r="N130" s="70">
        <f t="shared" si="14"/>
        <v>-6.8738683388216666</v>
      </c>
      <c r="O130" s="39">
        <f t="shared" si="15"/>
        <v>449.22251043296774</v>
      </c>
      <c r="P130" s="20">
        <f t="shared" si="18"/>
        <v>80</v>
      </c>
      <c r="Q130" s="39">
        <f t="shared" si="16"/>
        <v>445.99351300232848</v>
      </c>
      <c r="R130" s="39">
        <f t="shared" si="17"/>
        <v>-53.764767641455457</v>
      </c>
      <c r="S130" s="39"/>
      <c r="T130" s="39">
        <f t="shared" si="12"/>
        <v>39.258652637048733</v>
      </c>
      <c r="V130" s="20"/>
      <c r="W130" s="20"/>
      <c r="X130" s="20"/>
      <c r="Y130" s="20"/>
      <c r="Z130" s="20"/>
      <c r="AA130" s="20"/>
      <c r="AB130" s="20"/>
      <c r="AC130" s="20"/>
      <c r="AD130" s="20"/>
    </row>
    <row r="131" spans="1:30" s="22" customFormat="1">
      <c r="A131" s="20">
        <f>A130</f>
        <v>27</v>
      </c>
      <c r="B131" s="20">
        <v>55</v>
      </c>
      <c r="C131" s="80">
        <f>$B$66*(A131-1)/$B$30</f>
        <v>6.9439930212567507E-5</v>
      </c>
      <c r="D131" s="70">
        <f>IF(I131&gt;=0,ASIN(SIN($D$38)*COS(C131)+COS($D$38)*SIN(C131)*COS($C$50)),ASIN(SIN($D$39)*COS(ABS(I131)*SIN($B$71)/SIN($B$72)/$B$30)+COS($D$39)*SIN(ABS(I131)*SIN($B$71)/SIN($B$72)/$B$30)*COS($C$54)))</f>
        <v>0.80044355920098009</v>
      </c>
      <c r="E131" s="70">
        <f>IF(I131&gt;=0,$E$38+ATAN2(COS(C131)-SIN($D$38)*SIN(D131),SIN($C$50)*SIN(C131)*COS($D$38)),$E$39+ATAN2(COS(ABS(I131)*SIN($B$71)/SIN($B$72)/$B$30)-SIN($D$39)*SIN(D131),SIN($C$54)*SIN(ABS(I131)*SIN($B$71)/SIN($B$72)/$B$30)*COS($D$39)))</f>
        <v>0.18803177478460981</v>
      </c>
      <c r="F131" s="14">
        <f t="shared" si="22"/>
        <v>45.862037680646218</v>
      </c>
      <c r="G131" s="14">
        <f t="shared" si="22"/>
        <v>10.773427109512555</v>
      </c>
      <c r="H131" s="39">
        <f t="shared" si="19"/>
        <v>442.52661754464157</v>
      </c>
      <c r="I131" s="39">
        <f>$E$50-H131</f>
        <v>12.057362940963571</v>
      </c>
      <c r="J131" s="20"/>
      <c r="K131" s="14">
        <f>IF(ROTTE!C181&lt;&gt;"",LN(TAN(D131/2+PI()/4)/TAN($D$77/2+PI()/4)),"")</f>
        <v>-2.3960828281686715E-5</v>
      </c>
      <c r="L131" s="14">
        <f>IF(ROTTE!D181&lt;&gt;"",E131-$E$77,"")</f>
        <v>9.3123732585520536E-5</v>
      </c>
      <c r="M131" s="14">
        <f t="shared" si="13"/>
        <v>-0.25183828825730609</v>
      </c>
      <c r="N131" s="70">
        <f t="shared" si="14"/>
        <v>-14.429271036942678</v>
      </c>
      <c r="O131" s="39">
        <f t="shared" si="15"/>
        <v>426.73517597184792</v>
      </c>
      <c r="P131" s="20">
        <f t="shared" si="18"/>
        <v>81</v>
      </c>
      <c r="Q131" s="39">
        <f t="shared" si="16"/>
        <v>413.27423520107669</v>
      </c>
      <c r="R131" s="39">
        <f t="shared" si="17"/>
        <v>-106.3358685048895</v>
      </c>
      <c r="S131" s="39"/>
      <c r="T131" s="39">
        <f t="shared" si="12"/>
        <v>61.921496960497038</v>
      </c>
      <c r="V131" s="20"/>
      <c r="W131" s="20"/>
      <c r="X131" s="20"/>
      <c r="Y131" s="20"/>
      <c r="Z131" s="20"/>
      <c r="AA131" s="20"/>
      <c r="AB131" s="20"/>
      <c r="AC131" s="20"/>
      <c r="AD131" s="20"/>
    </row>
    <row r="132" spans="1:30" s="22" customFormat="1">
      <c r="A132" s="20">
        <f>A130+1</f>
        <v>28</v>
      </c>
      <c r="B132" s="20">
        <v>56</v>
      </c>
      <c r="C132" s="80">
        <f>$B$66*(A132-1)/$B$30</f>
        <v>7.2110696759204721E-5</v>
      </c>
      <c r="D132" s="70">
        <f>IF(I132&gt;=0,ASIN(SIN($D$38)*COS(C132)+COS($D$38)*SIN(C132)*COS($C$50)),ASIN(SIN($D$39)*COS(ABS(I132)*SIN($B$71)/SIN($B$72)/$B$30)+COS($D$39)*SIN(ABS(I132)*SIN($B$71)/SIN($B$72)/$B$30)*COS($C$54)))</f>
        <v>0.80043886472393244</v>
      </c>
      <c r="E132" s="70">
        <f>IF(I132&gt;=0,$E$38+ATAN2(COS(C132)-SIN($D$38)*SIN(D132),SIN($C$50)*SIN(C132)*COS($D$38)),$E$39+ATAN2(COS(ABS(I132)*SIN($B$71)/SIN($B$72)/$B$30)-SIN($D$39)*SIN(D132),SIN($C$54)*SIN(ABS(I132)*SIN($B$71)/SIN($B$72)/$B$30)*COS($D$39)))</f>
        <v>0.18803209170713395</v>
      </c>
      <c r="F132" s="14">
        <f t="shared" si="22"/>
        <v>45.861768706924359</v>
      </c>
      <c r="G132" s="14">
        <f t="shared" si="22"/>
        <v>10.773445267835621</v>
      </c>
      <c r="H132" s="39">
        <f t="shared" si="19"/>
        <v>459.5468720655893</v>
      </c>
      <c r="I132" s="39">
        <f>$E$50-H132</f>
        <v>-4.9628915799841593</v>
      </c>
      <c r="J132" s="20"/>
      <c r="K132" s="14" t="str">
        <f>IF(ROTTE!C182&lt;&gt;"",LN(TAN(D132/2+PI()/4)/TAN($D$77/2+PI()/4)),"")</f>
        <v/>
      </c>
      <c r="L132" s="14" t="str">
        <f>IF(ROTTE!D182&lt;&gt;"",E132-$E$77,"")</f>
        <v/>
      </c>
      <c r="M132" s="14" t="str">
        <f t="shared" si="13"/>
        <v/>
      </c>
      <c r="N132" s="70" t="str">
        <f t="shared" si="14"/>
        <v/>
      </c>
      <c r="O132" s="39" t="str">
        <f t="shared" si="15"/>
        <v/>
      </c>
      <c r="P132" s="20" t="str">
        <f t="shared" si="18"/>
        <v/>
      </c>
      <c r="Q132" s="39" t="e">
        <f t="shared" si="16"/>
        <v>#N/A</v>
      </c>
      <c r="R132" s="39" t="e">
        <f t="shared" si="17"/>
        <v>#N/A</v>
      </c>
      <c r="S132" s="39"/>
      <c r="T132" s="39">
        <f t="shared" si="12"/>
        <v>0</v>
      </c>
      <c r="V132" s="20"/>
      <c r="W132" s="20"/>
      <c r="X132" s="20"/>
      <c r="Y132" s="20"/>
      <c r="Z132" s="20"/>
      <c r="AA132" s="20"/>
      <c r="AB132" s="20"/>
      <c r="AC132" s="20"/>
      <c r="AD132" s="20"/>
    </row>
    <row r="133" spans="1:30" s="22" customFormat="1">
      <c r="A133" s="20">
        <f>A132</f>
        <v>28</v>
      </c>
      <c r="B133" s="20">
        <v>57</v>
      </c>
      <c r="C133" s="80">
        <f>$B$68*(A133-1)/$B$30</f>
        <v>7.4043643632096048E-5</v>
      </c>
      <c r="D133" s="70">
        <f>IF(I133&gt;=0,ASIN(SIN($D$37)*COS(C133)+COS($D$37)*SIN(C133)*COS($C$58)),ASIN(SIN($D$40)*COS(ABS(I133)*SIN($B$69)/SIN($B$70)/$B$30)+COS($D$40)*SIN(ABS(I133)*SIN($B$69)/SIN($B$70)/$B$30)*COS($C$62)))</f>
        <v>0.80043885743670196</v>
      </c>
      <c r="E133" s="70">
        <f>IF(I133&gt;=0,$E$37+ATAN2(COS(C133)-SIN($D$37)*SIN(D133),SIN($C$58)*SIN(C133)*COS($D$37)),$E$40+ATAN2(COS(ABS(I133)*SIN($B$69)/SIN($B$70)/$B$30)-SIN($D$40)*SIN(D133),SIN($C$62)*SIN(ABS(I133)*SIN($B$69)/SIN($B$70)/$B$30)*COS($D$40)))</f>
        <v>0.18803208783259828</v>
      </c>
      <c r="F133" s="14">
        <f t="shared" si="22"/>
        <v>45.861768289396807</v>
      </c>
      <c r="G133" s="14">
        <f t="shared" si="22"/>
        <v>10.773445045841081</v>
      </c>
      <c r="H133" s="39">
        <f t="shared" si="19"/>
        <v>471.86515117295056</v>
      </c>
      <c r="I133" s="39">
        <f>$E$58-H133</f>
        <v>-24.110034824966249</v>
      </c>
      <c r="J133" s="20"/>
      <c r="K133" s="14" t="str">
        <f>IF(ROTTE!C183&lt;&gt;"",LN(TAN(D133/2+PI()/4)/TAN($D$77/2+PI()/4)),"")</f>
        <v/>
      </c>
      <c r="L133" s="14" t="str">
        <f>IF(ROTTE!D183&lt;&gt;"",E133-$E$77,"")</f>
        <v/>
      </c>
      <c r="M133" s="14" t="str">
        <f t="shared" si="13"/>
        <v/>
      </c>
      <c r="N133" s="70" t="str">
        <f t="shared" si="14"/>
        <v/>
      </c>
      <c r="O133" s="39" t="str">
        <f t="shared" si="15"/>
        <v/>
      </c>
      <c r="P133" s="20" t="str">
        <f t="shared" si="18"/>
        <v/>
      </c>
      <c r="Q133" s="39" t="e">
        <f t="shared" si="16"/>
        <v>#N/A</v>
      </c>
      <c r="R133" s="39" t="e">
        <f t="shared" si="17"/>
        <v>#N/A</v>
      </c>
      <c r="S133" s="39"/>
      <c r="T133" s="39">
        <f t="shared" si="12"/>
        <v>0</v>
      </c>
      <c r="V133" s="20"/>
      <c r="W133" s="20"/>
      <c r="X133" s="20"/>
      <c r="Y133" s="20"/>
      <c r="Z133" s="20"/>
      <c r="AA133" s="20"/>
      <c r="AB133" s="20"/>
      <c r="AC133" s="20"/>
      <c r="AD133" s="20"/>
    </row>
    <row r="134" spans="1:30" s="22" customFormat="1">
      <c r="A134" s="20">
        <f>A132+1</f>
        <v>29</v>
      </c>
      <c r="B134" s="20">
        <v>58</v>
      </c>
      <c r="C134" s="80">
        <f>$B$68*(A134-1)/$B$30</f>
        <v>7.6786000803655163E-5</v>
      </c>
      <c r="D134" s="70">
        <f>IF(I134&gt;=0,ASIN(SIN($D$37)*COS(C134)+COS($D$37)*SIN(C134)*COS($C$58)),ASIN(SIN($D$40)*COS(ABS(I134)*SIN($B$69)/SIN($B$70)/$B$30)+COS($D$40)*SIN(ABS(I134)*SIN($B$69)/SIN($B$70)/$B$30)*COS($C$62)))</f>
        <v>0.80042590635065258</v>
      </c>
      <c r="E134" s="70">
        <f>IF(I134&gt;=0,$E$37+ATAN2(COS(C134)-SIN($D$37)*SIN(D134),SIN($C$58)*SIN(C134)*COS($D$37)),$E$40+ATAN2(COS(ABS(I134)*SIN($B$69)/SIN($B$70)/$B$30)-SIN($D$40)*SIN(D134),SIN($C$62)*SIN(ABS(I134)*SIN($B$69)/SIN($B$70)/$B$30)*COS($D$40)))</f>
        <v>0.18802502795351708</v>
      </c>
      <c r="F134" s="14">
        <f t="shared" si="22"/>
        <v>45.861026246826071</v>
      </c>
      <c r="G134" s="14">
        <f t="shared" si="22"/>
        <v>10.773040544565855</v>
      </c>
      <c r="H134" s="39">
        <f t="shared" si="19"/>
        <v>489.34163825343018</v>
      </c>
      <c r="I134" s="39">
        <f>$E$58-H134</f>
        <v>-41.586521905445863</v>
      </c>
      <c r="J134" s="20"/>
      <c r="K134" s="14" t="str">
        <f>IF(ROTTE!C184&lt;&gt;"",LN(TAN(D134/2+PI()/4)/TAN($D$77/2+PI()/4)),"")</f>
        <v/>
      </c>
      <c r="L134" s="14" t="str">
        <f>IF(ROTTE!D184&lt;&gt;"",E134-$E$77,"")</f>
        <v/>
      </c>
      <c r="M134" s="14" t="str">
        <f t="shared" si="13"/>
        <v/>
      </c>
      <c r="N134" s="70" t="str">
        <f t="shared" si="14"/>
        <v/>
      </c>
      <c r="O134" s="39" t="str">
        <f t="shared" si="15"/>
        <v/>
      </c>
      <c r="P134" s="20" t="str">
        <f t="shared" si="18"/>
        <v/>
      </c>
      <c r="Q134" s="39" t="e">
        <f t="shared" si="16"/>
        <v>#N/A</v>
      </c>
      <c r="R134" s="39" t="e">
        <f t="shared" si="17"/>
        <v>#N/A</v>
      </c>
      <c r="S134" s="39"/>
      <c r="T134" s="39">
        <f t="shared" si="12"/>
        <v>0</v>
      </c>
      <c r="V134" s="20"/>
      <c r="W134" s="20"/>
      <c r="X134" s="20"/>
      <c r="Y134" s="20"/>
      <c r="Z134" s="20"/>
      <c r="AA134" s="20"/>
      <c r="AB134" s="20"/>
      <c r="AC134" s="20"/>
      <c r="AD134" s="20"/>
    </row>
    <row r="135" spans="1:30" s="22" customFormat="1">
      <c r="A135" s="20">
        <f>A134</f>
        <v>29</v>
      </c>
      <c r="B135" s="20">
        <v>59</v>
      </c>
      <c r="C135" s="80">
        <f>$B$66*(A135-1)/$B$30</f>
        <v>7.4781463305841921E-5</v>
      </c>
      <c r="D135" s="70">
        <f>IF(I135&gt;=0,ASIN(SIN($D$38)*COS(C135)+COS($D$38)*SIN(C135)*COS($C$50)),ASIN(SIN($D$39)*COS(ABS(I135)*SIN($B$71)/SIN($B$72)/$B$30)+COS($D$39)*SIN(ABS(I135)*SIN($B$71)/SIN($B$72)/$B$30)*COS($C$54)))</f>
        <v>0.80042591366498583</v>
      </c>
      <c r="E135" s="70">
        <f>IF(I135&gt;=0,$E$38+ATAN2(COS(C135)-SIN($D$38)*SIN(D135),SIN($C$50)*SIN(C135)*COS($D$38)),$E$39+ATAN2(COS(ABS(I135)*SIN($B$71)/SIN($B$72)/$B$30)-SIN($D$39)*SIN(D135),SIN($C$54)*SIN(ABS(I135)*SIN($B$71)/SIN($B$72)/$B$30)*COS($D$39)))</f>
        <v>0.1880250317254808</v>
      </c>
      <c r="F135" s="14">
        <f t="shared" si="22"/>
        <v>45.861026665906493</v>
      </c>
      <c r="G135" s="14">
        <f t="shared" si="22"/>
        <v>10.773040760683458</v>
      </c>
      <c r="H135" s="39">
        <f t="shared" si="19"/>
        <v>476.56712658653703</v>
      </c>
      <c r="I135" s="39">
        <f>$E$50-H135</f>
        <v>-21.98314610093189</v>
      </c>
      <c r="J135" s="20"/>
      <c r="K135" s="14" t="str">
        <f>IF(ROTTE!C185&lt;&gt;"",LN(TAN(D135/2+PI()/4)/TAN($D$77/2+PI()/4)),"")</f>
        <v/>
      </c>
      <c r="L135" s="14" t="str">
        <f>IF(ROTTE!D185&lt;&gt;"",E135-$E$77,"")</f>
        <v/>
      </c>
      <c r="M135" s="14" t="str">
        <f t="shared" si="13"/>
        <v/>
      </c>
      <c r="N135" s="70" t="str">
        <f t="shared" si="14"/>
        <v/>
      </c>
      <c r="O135" s="39" t="str">
        <f t="shared" si="15"/>
        <v/>
      </c>
      <c r="P135" s="20" t="str">
        <f t="shared" si="18"/>
        <v/>
      </c>
      <c r="Q135" s="39" t="e">
        <f t="shared" si="16"/>
        <v>#N/A</v>
      </c>
      <c r="R135" s="39" t="e">
        <f t="shared" si="17"/>
        <v>#N/A</v>
      </c>
      <c r="S135" s="39"/>
      <c r="T135" s="39">
        <f t="shared" si="12"/>
        <v>0</v>
      </c>
      <c r="V135" s="20"/>
      <c r="W135" s="20"/>
      <c r="X135" s="20"/>
      <c r="Y135" s="20"/>
      <c r="Z135" s="20"/>
      <c r="AA135" s="20"/>
      <c r="AB135" s="20"/>
      <c r="AC135" s="20"/>
      <c r="AD135" s="20"/>
    </row>
    <row r="136" spans="1:30" s="22" customFormat="1">
      <c r="A136" s="20">
        <f>A134+1</f>
        <v>30</v>
      </c>
      <c r="B136" s="20">
        <v>60</v>
      </c>
      <c r="C136" s="80">
        <f>$B$66*(A136-1)/$B$30</f>
        <v>7.7452229852479148E-5</v>
      </c>
      <c r="D136" s="70">
        <f>IF(I136&gt;=0,ASIN(SIN($D$38)*COS(C136)+COS($D$38)*SIN(C136)*COS($C$50)),ASIN(SIN($D$39)*COS(ABS(I136)*SIN($B$71)/SIN($B$72)/$B$30)+COS($D$39)*SIN(ABS(I136)*SIN($B$71)/SIN($B$72)/$B$30)*COS($C$54)))</f>
        <v>0.80041296258112948</v>
      </c>
      <c r="E136" s="70">
        <f>IF(I136&gt;=0,$E$38+ATAN2(COS(C136)-SIN($D$38)*SIN(D136),SIN($C$50)*SIN(C136)*COS($D$38)),$E$39+ATAN2(COS(ABS(I136)*SIN($B$71)/SIN($B$72)/$B$30)-SIN($D$39)*SIN(D136),SIN($C$54)*SIN(ABS(I136)*SIN($B$71)/SIN($B$72)/$B$30)*COS($D$39)))</f>
        <v>0.18801797193227429</v>
      </c>
      <c r="F136" s="14">
        <f t="shared" si="22"/>
        <v>45.860284623461403</v>
      </c>
      <c r="G136" s="14">
        <f t="shared" si="22"/>
        <v>10.772636264328488</v>
      </c>
      <c r="H136" s="39">
        <f t="shared" si="19"/>
        <v>493.58738110748487</v>
      </c>
      <c r="I136" s="39">
        <f>$E$50-H136</f>
        <v>-39.003400621879734</v>
      </c>
      <c r="J136" s="20"/>
      <c r="K136" s="14" t="str">
        <f>IF(ROTTE!C186&lt;&gt;"",LN(TAN(D136/2+PI()/4)/TAN($D$77/2+PI()/4)),"")</f>
        <v/>
      </c>
      <c r="L136" s="14" t="str">
        <f>IF(ROTTE!D186&lt;&gt;"",E136-$E$77,"")</f>
        <v/>
      </c>
      <c r="M136" s="14" t="str">
        <f t="shared" si="13"/>
        <v/>
      </c>
      <c r="N136" s="70" t="str">
        <f t="shared" si="14"/>
        <v/>
      </c>
      <c r="O136" s="39" t="str">
        <f t="shared" si="15"/>
        <v/>
      </c>
      <c r="P136" s="20" t="str">
        <f t="shared" si="18"/>
        <v/>
      </c>
      <c r="Q136" s="39" t="e">
        <f t="shared" si="16"/>
        <v>#N/A</v>
      </c>
      <c r="R136" s="39" t="e">
        <f t="shared" si="17"/>
        <v>#N/A</v>
      </c>
      <c r="S136" s="39"/>
      <c r="T136" s="39">
        <f t="shared" si="12"/>
        <v>0</v>
      </c>
      <c r="V136" s="20"/>
      <c r="W136" s="20"/>
      <c r="X136" s="20"/>
      <c r="Y136" s="20"/>
      <c r="Z136" s="20"/>
      <c r="AA136" s="20"/>
      <c r="AB136" s="20"/>
      <c r="AC136" s="20"/>
      <c r="AD136" s="20"/>
    </row>
    <row r="137" spans="1:30" s="22" customFormat="1">
      <c r="A137" s="20">
        <f>A136</f>
        <v>30</v>
      </c>
      <c r="B137" s="20">
        <v>61</v>
      </c>
      <c r="C137" s="80">
        <f>$B$68*(A137-1)/$B$30</f>
        <v>7.9528357975214279E-5</v>
      </c>
      <c r="D137" s="70">
        <f>IF(I137&gt;=0,ASIN(SIN($D$37)*COS(C137)+COS($D$37)*SIN(C137)*COS($C$58)),ASIN(SIN($D$40)*COS(ABS(I137)*SIN($B$69)/SIN($B$70)/$B$30)+COS($D$40)*SIN(ABS(I137)*SIN($B$69)/SIN($B$70)/$B$30)*COS($C$62)))</f>
        <v>0.80041295523969402</v>
      </c>
      <c r="E137" s="70">
        <f>IF(I137&gt;=0,$E$37+ATAN2(COS(C137)-SIN($D$37)*SIN(D137),SIN($C$58)*SIN(C137)*COS($D$37)),$E$40+ATAN2(COS(ABS(I137)*SIN($B$69)/SIN($B$70)/$B$30)-SIN($D$40)*SIN(D137),SIN($C$62)*SIN(ABS(I137)*SIN($B$69)/SIN($B$70)/$B$30)*COS($D$40)))</f>
        <v>0.18801796826288017</v>
      </c>
      <c r="F137" s="14">
        <f t="shared" si="22"/>
        <v>45.86028420282814</v>
      </c>
      <c r="G137" s="14">
        <f t="shared" si="22"/>
        <v>10.772636054087693</v>
      </c>
      <c r="H137" s="39">
        <f t="shared" si="19"/>
        <v>506.81812533390985</v>
      </c>
      <c r="I137" s="39">
        <f>$E$58-H137</f>
        <v>-59.063008985925535</v>
      </c>
      <c r="J137" s="20"/>
      <c r="K137" s="14" t="str">
        <f>IF(ROTTE!C187&lt;&gt;"",LN(TAN(D137/2+PI()/4)/TAN($D$77/2+PI()/4)),"")</f>
        <v/>
      </c>
      <c r="L137" s="14" t="str">
        <f>IF(ROTTE!D187&lt;&gt;"",E137-$E$77,"")</f>
        <v/>
      </c>
      <c r="M137" s="14" t="str">
        <f t="shared" si="13"/>
        <v/>
      </c>
      <c r="N137" s="70" t="str">
        <f t="shared" si="14"/>
        <v/>
      </c>
      <c r="O137" s="39" t="str">
        <f t="shared" si="15"/>
        <v/>
      </c>
      <c r="P137" s="20" t="str">
        <f t="shared" si="18"/>
        <v/>
      </c>
      <c r="Q137" s="39" t="e">
        <f t="shared" si="16"/>
        <v>#N/A</v>
      </c>
      <c r="R137" s="39" t="e">
        <f t="shared" si="17"/>
        <v>#N/A</v>
      </c>
      <c r="S137" s="39"/>
      <c r="T137" s="39">
        <f t="shared" si="12"/>
        <v>0</v>
      </c>
      <c r="V137" s="20"/>
      <c r="W137" s="20"/>
      <c r="X137" s="20"/>
      <c r="Y137" s="20"/>
      <c r="Z137" s="20"/>
      <c r="AA137" s="20"/>
      <c r="AB137" s="20"/>
      <c r="AC137" s="20"/>
      <c r="AD137" s="20"/>
    </row>
    <row r="138" spans="1:30" s="22" customFormat="1">
      <c r="A138" s="20">
        <f>A136+1</f>
        <v>31</v>
      </c>
      <c r="B138" s="20">
        <v>62</v>
      </c>
      <c r="C138" s="80">
        <f>$B$68*(A138-1)/$B$30</f>
        <v>8.227071514677338E-5</v>
      </c>
      <c r="D138" s="70">
        <f>IF(I138&gt;=0,ASIN(SIN($D$37)*COS(C138)+COS($D$37)*SIN(C138)*COS($C$58)),ASIN(SIN($D$40)*COS(ABS(I138)*SIN($B$69)/SIN($B$70)/$B$30)+COS($D$40)*SIN(ABS(I138)*SIN($B$69)/SIN($B$70)/$B$30)*COS($C$62)))</f>
        <v>0.80040000410382817</v>
      </c>
      <c r="E138" s="70">
        <f>IF(I138&gt;=0,$E$37+ATAN2(COS(C138)-SIN($D$37)*SIN(D138),SIN($C$58)*SIN(C138)*COS($D$37)),$E$40+ATAN2(COS(ABS(I138)*SIN($B$69)/SIN($B$70)/$B$30)-SIN($D$40)*SIN(D138),SIN($C$62)*SIN(ABS(I138)*SIN($B$69)/SIN($B$70)/$B$30)*COS($D$40)))</f>
        <v>0.18801090876067797</v>
      </c>
      <c r="F138" s="14">
        <f t="shared" si="22"/>
        <v>45.859542157403126</v>
      </c>
      <c r="G138" s="14">
        <f t="shared" si="22"/>
        <v>10.772231574406042</v>
      </c>
      <c r="H138" s="39">
        <f t="shared" si="19"/>
        <v>524.29461241438946</v>
      </c>
      <c r="I138" s="39">
        <f>$E$58-H138</f>
        <v>-76.53949606640515</v>
      </c>
      <c r="J138" s="20"/>
      <c r="K138" s="14" t="str">
        <f>IF(ROTTE!C188&lt;&gt;"",LN(TAN(D138/2+PI()/4)/TAN($D$77/2+PI()/4)),"")</f>
        <v/>
      </c>
      <c r="L138" s="14" t="str">
        <f>IF(ROTTE!D188&lt;&gt;"",E138-$E$77,"")</f>
        <v/>
      </c>
      <c r="M138" s="14" t="str">
        <f t="shared" si="13"/>
        <v/>
      </c>
      <c r="N138" s="70" t="str">
        <f t="shared" si="14"/>
        <v/>
      </c>
      <c r="O138" s="39" t="str">
        <f t="shared" si="15"/>
        <v/>
      </c>
      <c r="P138" s="20" t="str">
        <f t="shared" si="18"/>
        <v/>
      </c>
      <c r="Q138" s="39" t="e">
        <f t="shared" si="16"/>
        <v>#N/A</v>
      </c>
      <c r="R138" s="39" t="e">
        <f t="shared" si="17"/>
        <v>#N/A</v>
      </c>
      <c r="S138" s="39"/>
      <c r="T138" s="39">
        <f t="shared" si="12"/>
        <v>0</v>
      </c>
      <c r="V138" s="20"/>
      <c r="W138" s="20"/>
      <c r="X138" s="20"/>
      <c r="Y138" s="20"/>
      <c r="Z138" s="20"/>
      <c r="AA138" s="20"/>
      <c r="AB138" s="20"/>
      <c r="AC138" s="20"/>
      <c r="AD138" s="20"/>
    </row>
    <row r="139" spans="1:30" s="22" customFormat="1">
      <c r="A139" s="20">
        <f>A138</f>
        <v>31</v>
      </c>
      <c r="B139" s="20">
        <v>63</v>
      </c>
      <c r="C139" s="80">
        <f>$B$66*(A139-1)/$B$30</f>
        <v>8.0122996399116349E-5</v>
      </c>
      <c r="D139" s="70">
        <f>IF(I139&gt;=0,ASIN(SIN($D$38)*COS(C139)+COS($D$38)*SIN(C139)*COS($C$50)),ASIN(SIN($D$39)*COS(ABS(I139)*SIN($B$71)/SIN($B$72)/$B$30)+COS($D$39)*SIN(ABS(I139)*SIN($B$71)/SIN($B$72)/$B$30)*COS($C$54)))</f>
        <v>0.80040001147236428</v>
      </c>
      <c r="E139" s="70">
        <f>IF(I139&gt;=0,$E$38+ATAN2(COS(C139)-SIN($D$38)*SIN(D139),SIN($C$50)*SIN(C139)*COS($D$38)),$E$39+ATAN2(COS(ABS(I139)*SIN($B$71)/SIN($B$72)/$B$30)-SIN($D$39)*SIN(D139),SIN($C$54)*SIN(ABS(I139)*SIN($B$71)/SIN($B$72)/$B$30)*COS($D$39)))</f>
        <v>0.18801091232750486</v>
      </c>
      <c r="F139" s="14">
        <f t="shared" si="22"/>
        <v>45.859542579589146</v>
      </c>
      <c r="G139" s="14">
        <f t="shared" si="22"/>
        <v>10.772231778770172</v>
      </c>
      <c r="H139" s="39">
        <f t="shared" si="19"/>
        <v>510.60763562843255</v>
      </c>
      <c r="I139" s="39">
        <f>$E$50-H139</f>
        <v>-56.023655142827408</v>
      </c>
      <c r="J139" s="20"/>
      <c r="K139" s="14" t="str">
        <f>IF(ROTTE!C189&lt;&gt;"",LN(TAN(D139/2+PI()/4)/TAN($D$77/2+PI()/4)),"")</f>
        <v/>
      </c>
      <c r="L139" s="14" t="str">
        <f>IF(ROTTE!D189&lt;&gt;"",E139-$E$77,"")</f>
        <v/>
      </c>
      <c r="M139" s="14" t="str">
        <f t="shared" si="13"/>
        <v/>
      </c>
      <c r="N139" s="70" t="str">
        <f t="shared" si="14"/>
        <v/>
      </c>
      <c r="O139" s="39" t="str">
        <f t="shared" si="15"/>
        <v/>
      </c>
      <c r="P139" s="20" t="str">
        <f t="shared" si="18"/>
        <v/>
      </c>
      <c r="Q139" s="39" t="e">
        <f t="shared" si="16"/>
        <v>#N/A</v>
      </c>
      <c r="R139" s="39" t="e">
        <f t="shared" si="17"/>
        <v>#N/A</v>
      </c>
      <c r="S139" s="39"/>
      <c r="T139" s="39">
        <f t="shared" si="12"/>
        <v>0</v>
      </c>
      <c r="V139" s="20"/>
      <c r="W139" s="20"/>
      <c r="X139" s="20"/>
      <c r="Y139" s="20"/>
      <c r="Z139" s="20"/>
      <c r="AA139" s="20"/>
      <c r="AB139" s="20"/>
      <c r="AC139" s="20"/>
      <c r="AD139" s="20"/>
    </row>
    <row r="140" spans="1:30" s="22" customFormat="1">
      <c r="A140" s="20">
        <f>A138+1</f>
        <v>32</v>
      </c>
      <c r="B140" s="20">
        <v>64</v>
      </c>
      <c r="C140" s="80">
        <f>$B$66*(A140-1)/$B$30</f>
        <v>8.2793762945753563E-5</v>
      </c>
      <c r="D140" s="70">
        <f>IF(I140&gt;=0,ASIN(SIN($D$38)*COS(C140)+COS($D$38)*SIN(C140)*COS($C$50)),ASIN(SIN($D$39)*COS(ABS(I140)*SIN($B$71)/SIN($B$72)/$B$30)+COS($D$39)*SIN(ABS(I140)*SIN($B$71)/SIN($B$72)/$B$30)*COS($C$54)))</f>
        <v>0.80038706033869245</v>
      </c>
      <c r="E140" s="70">
        <f>IF(I140&gt;=0,$E$38+ATAN2(COS(C140)-SIN($D$38)*SIN(D140),SIN($C$50)*SIN(C140)*COS($D$38)),$E$39+ATAN2(COS(ABS(I140)*SIN($B$71)/SIN($B$72)/$B$30)-SIN($D$39)*SIN(D140),SIN($C$54)*SIN(ABS(I140)*SIN($B$71)/SIN($B$72)/$B$30)*COS($D$39)))</f>
        <v>0.18800385291116295</v>
      </c>
      <c r="F140" s="14">
        <f t="shared" si="22"/>
        <v>45.858800534289841</v>
      </c>
      <c r="G140" s="14">
        <f t="shared" si="22"/>
        <v>10.771827304007953</v>
      </c>
      <c r="H140" s="39">
        <f t="shared" si="19"/>
        <v>527.62789014938028</v>
      </c>
      <c r="I140" s="39">
        <f>$E$50-H140</f>
        <v>-73.043909663775139</v>
      </c>
      <c r="J140" s="20"/>
      <c r="K140" s="14" t="str">
        <f>IF(ROTTE!C190&lt;&gt;"",LN(TAN(D140/2+PI()/4)/TAN($D$77/2+PI()/4)),"")</f>
        <v/>
      </c>
      <c r="L140" s="14" t="str">
        <f>IF(ROTTE!D190&lt;&gt;"",E140-$E$77,"")</f>
        <v/>
      </c>
      <c r="M140" s="14" t="str">
        <f t="shared" si="13"/>
        <v/>
      </c>
      <c r="N140" s="70" t="str">
        <f t="shared" si="14"/>
        <v/>
      </c>
      <c r="O140" s="39" t="str">
        <f t="shared" si="15"/>
        <v/>
      </c>
      <c r="P140" s="20" t="str">
        <f t="shared" si="18"/>
        <v/>
      </c>
      <c r="Q140" s="39" t="e">
        <f t="shared" si="16"/>
        <v>#N/A</v>
      </c>
      <c r="R140" s="39" t="e">
        <f t="shared" si="17"/>
        <v>#N/A</v>
      </c>
      <c r="S140" s="39"/>
      <c r="T140" s="39">
        <f t="shared" si="12"/>
        <v>0</v>
      </c>
      <c r="V140" s="20"/>
      <c r="W140" s="20"/>
      <c r="X140" s="20"/>
      <c r="Y140" s="20"/>
      <c r="Z140" s="20"/>
      <c r="AA140" s="20"/>
      <c r="AB140" s="20"/>
      <c r="AC140" s="20"/>
      <c r="AD140" s="20"/>
    </row>
    <row r="141" spans="1:30" s="22" customFormat="1">
      <c r="A141" s="20">
        <f>A140</f>
        <v>32</v>
      </c>
      <c r="B141" s="20">
        <v>65</v>
      </c>
      <c r="C141" s="80">
        <f>$B$68*(A141-1)/$B$30</f>
        <v>8.5013072318332509E-5</v>
      </c>
      <c r="D141" s="70">
        <f>IF(I141&gt;=0,ASIN(SIN($D$37)*COS(C141)+COS($D$37)*SIN(C141)*COS($C$58)),ASIN(SIN($D$40)*COS(ABS(I141)*SIN($B$69)/SIN($B$70)/$B$30)+COS($D$40)*SIN(ABS(I141)*SIN($B$69)/SIN($B$70)/$B$30)*COS($C$62)))</f>
        <v>0.80038705294305557</v>
      </c>
      <c r="E141" s="70">
        <f>IF(I141&gt;=0,$E$37+ATAN2(COS(C141)-SIN($D$37)*SIN(D141),SIN($C$58)*SIN(C141)*COS($D$37)),$E$40+ATAN2(COS(ABS(I141)*SIN($B$69)/SIN($B$70)/$B$30)-SIN($D$40)*SIN(D141),SIN($C$62)*SIN(ABS(I141)*SIN($B$69)/SIN($B$70)/$B$30)*COS($D$40)))</f>
        <v>0.18800384944690096</v>
      </c>
      <c r="F141" s="14">
        <f t="shared" ref="F141:G156" si="23">D141*180/PI()</f>
        <v>45.858800110551059</v>
      </c>
      <c r="G141" s="14">
        <f t="shared" si="23"/>
        <v>10.77182710552036</v>
      </c>
      <c r="H141" s="39">
        <f t="shared" si="19"/>
        <v>541.77109949486919</v>
      </c>
      <c r="I141" s="39">
        <f>$E$58-H141</f>
        <v>-94.015983146884878</v>
      </c>
      <c r="J141" s="20"/>
      <c r="K141" s="14" t="str">
        <f>IF(ROTTE!C191&lt;&gt;"",LN(TAN(D141/2+PI()/4)/TAN($D$77/2+PI()/4)),"")</f>
        <v/>
      </c>
      <c r="L141" s="14" t="str">
        <f>IF(ROTTE!D191&lt;&gt;"",E141-$E$77,"")</f>
        <v/>
      </c>
      <c r="M141" s="14" t="str">
        <f t="shared" si="13"/>
        <v/>
      </c>
      <c r="N141" s="70" t="str">
        <f t="shared" si="14"/>
        <v/>
      </c>
      <c r="O141" s="39" t="str">
        <f t="shared" si="15"/>
        <v/>
      </c>
      <c r="P141" s="20" t="str">
        <f t="shared" si="18"/>
        <v/>
      </c>
      <c r="Q141" s="39" t="e">
        <f t="shared" si="16"/>
        <v>#N/A</v>
      </c>
      <c r="R141" s="39" t="e">
        <f t="shared" si="17"/>
        <v>#N/A</v>
      </c>
      <c r="S141" s="39"/>
      <c r="T141" s="39">
        <f t="shared" si="12"/>
        <v>0</v>
      </c>
      <c r="V141" s="20"/>
      <c r="W141" s="20"/>
      <c r="X141" s="20"/>
      <c r="Y141" s="20"/>
      <c r="Z141" s="20"/>
      <c r="AA141" s="20"/>
      <c r="AB141" s="20"/>
      <c r="AC141" s="20"/>
      <c r="AD141" s="20"/>
    </row>
    <row r="142" spans="1:30" s="22" customFormat="1">
      <c r="A142" s="20">
        <f>A140+1</f>
        <v>33</v>
      </c>
      <c r="B142" s="20">
        <v>66</v>
      </c>
      <c r="C142" s="80">
        <f>$B$68*(A142-1)/$B$30</f>
        <v>8.7755429489891611E-5</v>
      </c>
      <c r="D142" s="70">
        <f>IF(I142&gt;=0,ASIN(SIN($D$37)*COS(C142)+COS($D$37)*SIN(C142)*COS($C$58)),ASIN(SIN($D$40)*COS(ABS(I142)*SIN($B$69)/SIN($B$70)/$B$30)+COS($D$40)*SIN(ABS(I142)*SIN($B$69)/SIN($B$70)/$B$30)*COS($C$62)))</f>
        <v>0.80037410175737811</v>
      </c>
      <c r="E142" s="70">
        <f>IF(I142&gt;=0,$E$37+ATAN2(COS(C142)-SIN($D$37)*SIN(D142),SIN($C$58)*SIN(C142)*COS($D$37)),$E$40+ATAN2(COS(ABS(I142)*SIN($B$69)/SIN($B$70)/$B$30)-SIN($D$40)*SIN(D142),SIN($C$62)*SIN(ABS(I142)*SIN($B$69)/SIN($B$70)/$B$30)*COS($D$40)))</f>
        <v>0.1879967903215396</v>
      </c>
      <c r="F142" s="14">
        <f t="shared" si="23"/>
        <v>45.85805806227205</v>
      </c>
      <c r="G142" s="14">
        <f t="shared" si="23"/>
        <v>10.7714226474301</v>
      </c>
      <c r="H142" s="39">
        <f t="shared" si="19"/>
        <v>559.24758657534881</v>
      </c>
      <c r="I142" s="39">
        <f>$E$58-H142</f>
        <v>-111.49247022736449</v>
      </c>
      <c r="J142" s="20"/>
      <c r="K142" s="14" t="str">
        <f>IF(ROTTE!C192&lt;&gt;"",LN(TAN(D142/2+PI()/4)/TAN($D$77/2+PI()/4)),"")</f>
        <v/>
      </c>
      <c r="L142" s="14" t="str">
        <f>IF(ROTTE!D192&lt;&gt;"",E142-$E$77,"")</f>
        <v/>
      </c>
      <c r="M142" s="14" t="str">
        <f t="shared" si="13"/>
        <v/>
      </c>
      <c r="N142" s="70" t="str">
        <f t="shared" si="14"/>
        <v/>
      </c>
      <c r="O142" s="39" t="str">
        <f t="shared" si="15"/>
        <v/>
      </c>
      <c r="P142" s="20" t="str">
        <f t="shared" si="18"/>
        <v/>
      </c>
      <c r="Q142" s="39" t="e">
        <f t="shared" si="16"/>
        <v>#N/A</v>
      </c>
      <c r="R142" s="39" t="e">
        <f t="shared" si="17"/>
        <v>#N/A</v>
      </c>
      <c r="S142" s="39"/>
      <c r="T142" s="39">
        <f t="shared" ref="T142:T175" si="24">IF(_xlfn.IFNA(Q142,0)=0,0,SQRT((Q142-Q141)^2+(R142-R141)^2))</f>
        <v>0</v>
      </c>
      <c r="V142" s="20"/>
      <c r="W142" s="20"/>
      <c r="X142" s="20"/>
      <c r="Y142" s="20"/>
      <c r="Z142" s="20"/>
      <c r="AA142" s="20"/>
      <c r="AB142" s="20"/>
      <c r="AC142" s="20"/>
      <c r="AD142" s="20"/>
    </row>
    <row r="143" spans="1:30" s="22" customFormat="1">
      <c r="A143" s="20">
        <f>A142</f>
        <v>33</v>
      </c>
      <c r="B143" s="20">
        <v>67</v>
      </c>
      <c r="C143" s="80">
        <f>$B$66*(A143-1)/$B$30</f>
        <v>8.5464529492390776E-5</v>
      </c>
      <c r="D143" s="70">
        <f>IF(I143&gt;=0,ASIN(SIN($D$38)*COS(C143)+COS($D$38)*SIN(C143)*COS($C$50)),ASIN(SIN($D$39)*COS(ABS(I143)*SIN($B$71)/SIN($B$72)/$B$30)+COS($D$39)*SIN(ABS(I143)*SIN($B$71)/SIN($B$72)/$B$30)*COS($C$54)))</f>
        <v>0.80037410918011465</v>
      </c>
      <c r="E143" s="70">
        <f>IF(I143&gt;=0,$E$38+ATAN2(COS(C143)-SIN($D$38)*SIN(D143),SIN($C$50)*SIN(C143)*COS($D$38)),$E$39+ATAN2(COS(ABS(I143)*SIN($B$71)/SIN($B$72)/$B$30)-SIN($D$39)*SIN(D143),SIN($C$54)*SIN(ABS(I143)*SIN($B$71)/SIN($B$72)/$B$30)*COS($D$39)))</f>
        <v>0.18799679368323902</v>
      </c>
      <c r="F143" s="14">
        <f t="shared" si="23"/>
        <v>45.858058487563525</v>
      </c>
      <c r="G143" s="14">
        <f t="shared" si="23"/>
        <v>10.771422840041289</v>
      </c>
      <c r="H143" s="39">
        <f t="shared" si="19"/>
        <v>544.64814467032807</v>
      </c>
      <c r="I143" s="39">
        <f>$E$50-H143</f>
        <v>-90.064164184722927</v>
      </c>
      <c r="J143" s="20"/>
      <c r="K143" s="14" t="str">
        <f>IF(ROTTE!C193&lt;&gt;"",LN(TAN(D143/2+PI()/4)/TAN($D$77/2+PI()/4)),"")</f>
        <v/>
      </c>
      <c r="L143" s="14" t="str">
        <f>IF(ROTTE!D193&lt;&gt;"",E143-$E$77,"")</f>
        <v/>
      </c>
      <c r="M143" s="14" t="str">
        <f t="shared" ref="M143:M175" si="25">IF(K143="","",IF(L143=0,PI()/2,ATAN2(L143,K143)))</f>
        <v/>
      </c>
      <c r="N143" s="70" t="str">
        <f t="shared" ref="N143:N175" si="26">IF(K143="","",M143*180/PI())</f>
        <v/>
      </c>
      <c r="O143" s="39" t="str">
        <f t="shared" ref="O143:O175" si="27">IF(K143="","",$B$30*ACOS(SIN($D$77)*SIN(D143)+COS($D$77)*COS(D143)*COS($E$77-E143)))</f>
        <v/>
      </c>
      <c r="P143" s="20" t="str">
        <f t="shared" si="18"/>
        <v/>
      </c>
      <c r="Q143" s="39" t="e">
        <f t="shared" ref="Q143:Q175" si="28">IF(K143="",NA(),O143*COS(M143))</f>
        <v>#N/A</v>
      </c>
      <c r="R143" s="39" t="e">
        <f t="shared" ref="R143:R175" si="29">IF(K143="",NA(),O143*SIN(M143))</f>
        <v>#N/A</v>
      </c>
      <c r="S143" s="39"/>
      <c r="T143" s="39">
        <f t="shared" si="24"/>
        <v>0</v>
      </c>
      <c r="V143" s="20"/>
      <c r="W143" s="20"/>
      <c r="X143" s="20"/>
      <c r="Y143" s="20"/>
      <c r="Z143" s="20"/>
      <c r="AA143" s="20"/>
      <c r="AB143" s="20"/>
      <c r="AC143" s="20"/>
      <c r="AD143" s="20"/>
    </row>
    <row r="144" spans="1:30" s="22" customFormat="1">
      <c r="A144" s="20">
        <f>A142+1</f>
        <v>34</v>
      </c>
      <c r="B144" s="20">
        <v>68</v>
      </c>
      <c r="C144" s="80">
        <f>$B$66*(A144-1)/$B$30</f>
        <v>8.813529603902799E-5</v>
      </c>
      <c r="D144" s="70">
        <f>IF(I144&gt;=0,ASIN(SIN($D$38)*COS(C144)+COS($D$38)*SIN(C144)*COS($C$50)),ASIN(SIN($D$39)*COS(ABS(I144)*SIN($B$71)/SIN($B$72)/$B$30)+COS($D$39)*SIN(ABS(I144)*SIN($B$71)/SIN($B$72)/$B$30)*COS($C$54)))</f>
        <v>0.80036115799663232</v>
      </c>
      <c r="E144" s="70">
        <f>IF(I144&gt;=0,$E$38+ATAN2(COS(C144)-SIN($D$38)*SIN(D144),SIN($C$50)*SIN(C144)*COS($D$38)),$E$39+ATAN2(COS(ABS(I144)*SIN($B$71)/SIN($B$72)/$B$30)-SIN($D$39)*SIN(D144),SIN($C$54)*SIN(ABS(I144)*SIN($B$71)/SIN($B$72)/$B$30)*COS($D$39)))</f>
        <v>0.18798973464372354</v>
      </c>
      <c r="F144" s="14">
        <f t="shared" si="23"/>
        <v>45.85731643941029</v>
      </c>
      <c r="G144" s="14">
        <f t="shared" si="23"/>
        <v>10.771018386869638</v>
      </c>
      <c r="H144" s="39">
        <f t="shared" si="19"/>
        <v>561.66839919127585</v>
      </c>
      <c r="I144" s="39">
        <f>$E$50-H144</f>
        <v>-107.08441870567071</v>
      </c>
      <c r="J144" s="20"/>
      <c r="K144" s="14" t="str">
        <f>IF(ROTTE!C194&lt;&gt;"",LN(TAN(D144/2+PI()/4)/TAN($D$77/2+PI()/4)),"")</f>
        <v/>
      </c>
      <c r="L144" s="14" t="str">
        <f>IF(ROTTE!D194&lt;&gt;"",E144-$E$77,"")</f>
        <v/>
      </c>
      <c r="M144" s="14" t="str">
        <f t="shared" si="25"/>
        <v/>
      </c>
      <c r="N144" s="70" t="str">
        <f t="shared" si="26"/>
        <v/>
      </c>
      <c r="O144" s="39" t="str">
        <f t="shared" si="27"/>
        <v/>
      </c>
      <c r="P144" s="20" t="str">
        <f t="shared" ref="P144:P175" si="30">IF(O144="","",P143+1)</f>
        <v/>
      </c>
      <c r="Q144" s="39" t="e">
        <f t="shared" si="28"/>
        <v>#N/A</v>
      </c>
      <c r="R144" s="39" t="e">
        <f t="shared" si="29"/>
        <v>#N/A</v>
      </c>
      <c r="S144" s="39"/>
      <c r="T144" s="39">
        <f t="shared" si="24"/>
        <v>0</v>
      </c>
      <c r="V144" s="20"/>
      <c r="W144" s="20"/>
      <c r="X144" s="20"/>
      <c r="Y144" s="20"/>
      <c r="Z144" s="20"/>
      <c r="AA144" s="20"/>
      <c r="AB144" s="20"/>
      <c r="AC144" s="20"/>
      <c r="AD144" s="20"/>
    </row>
    <row r="145" spans="1:30" s="22" customFormat="1">
      <c r="A145" s="20">
        <f>A144</f>
        <v>34</v>
      </c>
      <c r="B145" s="20">
        <v>69</v>
      </c>
      <c r="C145" s="80">
        <f>$B$68*(A145-1)/$B$30</f>
        <v>9.0497786661450727E-5</v>
      </c>
      <c r="D145" s="70">
        <f>IF(I145&gt;=0,ASIN(SIN($D$37)*COS(C145)+COS($D$37)*SIN(C145)*COS($C$58)),ASIN(SIN($D$40)*COS(ABS(I145)*SIN($B$69)/SIN($B$70)/$B$30)+COS($D$40)*SIN(ABS(I145)*SIN($B$69)/SIN($B$70)/$B$30)*COS($C$62)))</f>
        <v>0.80036115054679668</v>
      </c>
      <c r="E145" s="70">
        <f>IF(I145&gt;=0,$E$37+ATAN2(COS(C145)-SIN($D$37)*SIN(D145),SIN($C$58)*SIN(C145)*COS($D$37)),$E$40+ATAN2(COS(ABS(I145)*SIN($B$69)/SIN($B$70)/$B$30)-SIN($D$40)*SIN(D145),SIN($C$62)*SIN(ABS(I145)*SIN($B$69)/SIN($B$70)/$B$30)*COS($D$40)))</f>
        <v>0.1879897313845843</v>
      </c>
      <c r="F145" s="14">
        <f t="shared" si="23"/>
        <v>45.857316012566145</v>
      </c>
      <c r="G145" s="14">
        <f t="shared" si="23"/>
        <v>10.771018200134714</v>
      </c>
      <c r="H145" s="39">
        <f t="shared" ref="H145:H175" si="31">C145*$B$30</f>
        <v>576.72407365582842</v>
      </c>
      <c r="I145" s="39">
        <f>$E$58-H145</f>
        <v>-128.96895730784411</v>
      </c>
      <c r="J145" s="20"/>
      <c r="K145" s="14" t="str">
        <f>IF(ROTTE!C195&lt;&gt;"",LN(TAN(D145/2+PI()/4)/TAN($D$77/2+PI()/4)),"")</f>
        <v/>
      </c>
      <c r="L145" s="14" t="str">
        <f>IF(ROTTE!D195&lt;&gt;"",E145-$E$77,"")</f>
        <v/>
      </c>
      <c r="M145" s="14" t="str">
        <f t="shared" si="25"/>
        <v/>
      </c>
      <c r="N145" s="70" t="str">
        <f t="shared" si="26"/>
        <v/>
      </c>
      <c r="O145" s="39" t="str">
        <f t="shared" si="27"/>
        <v/>
      </c>
      <c r="P145" s="20" t="str">
        <f t="shared" si="30"/>
        <v/>
      </c>
      <c r="Q145" s="39" t="e">
        <f t="shared" si="28"/>
        <v>#N/A</v>
      </c>
      <c r="R145" s="39" t="e">
        <f t="shared" si="29"/>
        <v>#N/A</v>
      </c>
      <c r="S145" s="39"/>
      <c r="T145" s="39">
        <f t="shared" si="24"/>
        <v>0</v>
      </c>
      <c r="V145" s="20"/>
      <c r="W145" s="20"/>
      <c r="X145" s="20"/>
      <c r="Y145" s="20"/>
      <c r="Z145" s="20"/>
      <c r="AA145" s="20"/>
      <c r="AB145" s="20"/>
      <c r="AC145" s="20"/>
      <c r="AD145" s="20"/>
    </row>
    <row r="146" spans="1:30" s="22" customFormat="1">
      <c r="A146" s="20">
        <f>A144+1</f>
        <v>35</v>
      </c>
      <c r="B146" s="20">
        <v>70</v>
      </c>
      <c r="C146" s="80">
        <f>$B$68*(A146-1)/$B$30</f>
        <v>9.3240143833009842E-5</v>
      </c>
      <c r="D146" s="70">
        <f>IF(I146&gt;=0,ASIN(SIN($D$37)*COS(C146)+COS($D$37)*SIN(C146)*COS($C$58)),ASIN(SIN($D$40)*COS(ABS(I146)*SIN($B$69)/SIN($B$70)/$B$30)+COS($D$40)*SIN(ABS(I146)*SIN($B$69)/SIN($B$70)/$B$30)*COS($C$62)))</f>
        <v>0.80034819931131296</v>
      </c>
      <c r="E146" s="70">
        <f>IF(I146&gt;=0,$E$37+ATAN2(COS(C146)-SIN($D$37)*SIN(D146),SIN($C$58)*SIN(C146)*COS($D$37)),$E$40+ATAN2(COS(ABS(I146)*SIN($B$69)/SIN($B$70)/$B$30)-SIN($D$40)*SIN(D146),SIN($C$62)*SIN(ABS(I146)*SIN($B$69)/SIN($B$70)/$B$30)*COS($D$40)))</f>
        <v>0.18798267263602556</v>
      </c>
      <c r="F146" s="14">
        <f t="shared" si="23"/>
        <v>45.856573961433455</v>
      </c>
      <c r="G146" s="14">
        <f t="shared" si="23"/>
        <v>10.770613763633655</v>
      </c>
      <c r="H146" s="39">
        <f t="shared" si="31"/>
        <v>594.20056073630815</v>
      </c>
      <c r="I146" s="39">
        <f>$E$58-H146</f>
        <v>-146.44544438832384</v>
      </c>
      <c r="J146" s="20"/>
      <c r="K146" s="14" t="str">
        <f>IF(ROTTE!C196&lt;&gt;"",LN(TAN(D146/2+PI()/4)/TAN($D$77/2+PI()/4)),"")</f>
        <v/>
      </c>
      <c r="L146" s="14" t="str">
        <f>IF(ROTTE!D196&lt;&gt;"",E146-$E$77,"")</f>
        <v/>
      </c>
      <c r="M146" s="14" t="str">
        <f t="shared" si="25"/>
        <v/>
      </c>
      <c r="N146" s="70" t="str">
        <f t="shared" si="26"/>
        <v/>
      </c>
      <c r="O146" s="39" t="str">
        <f t="shared" si="27"/>
        <v/>
      </c>
      <c r="P146" s="20" t="str">
        <f t="shared" si="30"/>
        <v/>
      </c>
      <c r="Q146" s="39" t="e">
        <f t="shared" si="28"/>
        <v>#N/A</v>
      </c>
      <c r="R146" s="39" t="e">
        <f t="shared" si="29"/>
        <v>#N/A</v>
      </c>
      <c r="S146" s="39"/>
      <c r="T146" s="39">
        <f t="shared" si="24"/>
        <v>0</v>
      </c>
      <c r="V146" s="20"/>
      <c r="W146" s="20"/>
      <c r="X146" s="20"/>
      <c r="Y146" s="20"/>
      <c r="Z146" s="20"/>
      <c r="AA146" s="20"/>
      <c r="AB146" s="20"/>
      <c r="AC146" s="20"/>
      <c r="AD146" s="20"/>
    </row>
    <row r="147" spans="1:30" s="22" customFormat="1">
      <c r="A147" s="20">
        <f>A146</f>
        <v>35</v>
      </c>
      <c r="B147" s="20">
        <v>71</v>
      </c>
      <c r="C147" s="80">
        <f>$B$66*(A147-1)/$B$30</f>
        <v>9.0806062585665191E-5</v>
      </c>
      <c r="D147" s="70">
        <f>IF(I147&gt;=0,ASIN(SIN($D$38)*COS(C147)+COS($D$38)*SIN(C147)*COS($C$50)),ASIN(SIN($D$39)*COS(ABS(I147)*SIN($B$71)/SIN($B$72)/$B$30)+COS($D$39)*SIN(ABS(I147)*SIN($B$71)/SIN($B$72)/$B$30)*COS($C$54)))</f>
        <v>0.8003482067882467</v>
      </c>
      <c r="E147" s="70">
        <f>IF(I147&gt;=0,$E$38+ATAN2(COS(C147)-SIN($D$38)*SIN(D147),SIN($C$50)*SIN(C147)*COS($D$38)),$E$39+ATAN2(COS(ABS(I147)*SIN($B$71)/SIN($B$72)/$B$30)-SIN($D$39)*SIN(D147),SIN($C$54)*SIN(ABS(I147)*SIN($B$71)/SIN($B$72)/$B$30)*COS($D$39)))</f>
        <v>0.18798267579260691</v>
      </c>
      <c r="F147" s="14">
        <f t="shared" si="23"/>
        <v>45.8565743898302</v>
      </c>
      <c r="G147" s="14">
        <f t="shared" si="23"/>
        <v>10.770613944492444</v>
      </c>
      <c r="H147" s="39">
        <f t="shared" si="31"/>
        <v>578.68865371222353</v>
      </c>
      <c r="I147" s="39">
        <f>$E$50-H147</f>
        <v>-124.10467322661839</v>
      </c>
      <c r="J147" s="20"/>
      <c r="K147" s="14" t="str">
        <f>IF(ROTTE!C197&lt;&gt;"",LN(TAN(D147/2+PI()/4)/TAN($D$77/2+PI()/4)),"")</f>
        <v/>
      </c>
      <c r="L147" s="14" t="str">
        <f>IF(ROTTE!D197&lt;&gt;"",E147-$E$77,"")</f>
        <v/>
      </c>
      <c r="M147" s="14" t="str">
        <f t="shared" si="25"/>
        <v/>
      </c>
      <c r="N147" s="70" t="str">
        <f t="shared" si="26"/>
        <v/>
      </c>
      <c r="O147" s="39" t="str">
        <f t="shared" si="27"/>
        <v/>
      </c>
      <c r="P147" s="20" t="str">
        <f t="shared" si="30"/>
        <v/>
      </c>
      <c r="Q147" s="39" t="e">
        <f t="shared" si="28"/>
        <v>#N/A</v>
      </c>
      <c r="R147" s="39" t="e">
        <f t="shared" si="29"/>
        <v>#N/A</v>
      </c>
      <c r="S147" s="39"/>
      <c r="T147" s="39">
        <f t="shared" si="24"/>
        <v>0</v>
      </c>
      <c r="V147" s="20"/>
      <c r="W147" s="20"/>
      <c r="X147" s="20"/>
      <c r="Y147" s="20"/>
      <c r="Z147" s="20"/>
      <c r="AA147" s="20"/>
      <c r="AB147" s="20"/>
      <c r="AC147" s="20"/>
      <c r="AD147" s="20"/>
    </row>
    <row r="148" spans="1:30" s="22" customFormat="1">
      <c r="A148" s="20">
        <f>A146+1</f>
        <v>36</v>
      </c>
      <c r="B148" s="20">
        <v>72</v>
      </c>
      <c r="C148" s="80">
        <f>$B$66*(A148-1)/$B$30</f>
        <v>9.3476829132302405E-5</v>
      </c>
      <c r="D148" s="70">
        <f>IF(I148&gt;=0,ASIN(SIN($D$38)*COS(C148)+COS($D$38)*SIN(C148)*COS($C$50)),ASIN(SIN($D$39)*COS(ABS(I148)*SIN($B$71)/SIN($B$72)/$B$30)+COS($D$39)*SIN(ABS(I148)*SIN($B$71)/SIN($B$72)/$B$30)*COS($C$54)))</f>
        <v>0.80033525555495943</v>
      </c>
      <c r="E148" s="70">
        <f>IF(I148&gt;=0,$E$38+ATAN2(COS(C148)-SIN($D$38)*SIN(D148),SIN($C$50)*SIN(C148)*COS($D$38)),$E$39+ATAN2(COS(ABS(I148)*SIN($B$71)/SIN($B$72)/$B$30)-SIN($D$39)*SIN(D148),SIN($C$54)*SIN(ABS(I148)*SIN($B$71)/SIN($B$72)/$B$30)*COS($D$39)))</f>
        <v>0.18797561712987965</v>
      </c>
      <c r="F148" s="14">
        <f t="shared" si="23"/>
        <v>45.855832338823348</v>
      </c>
      <c r="G148" s="14">
        <f t="shared" si="23"/>
        <v>10.770209512909165</v>
      </c>
      <c r="H148" s="39">
        <f t="shared" si="31"/>
        <v>595.70890823317131</v>
      </c>
      <c r="I148" s="39">
        <f>$E$50-H148</f>
        <v>-141.12492774756618</v>
      </c>
      <c r="J148" s="20"/>
      <c r="K148" s="14" t="str">
        <f>IF(ROTTE!C198&lt;&gt;"",LN(TAN(D148/2+PI()/4)/TAN($D$77/2+PI()/4)),"")</f>
        <v/>
      </c>
      <c r="L148" s="14" t="str">
        <f>IF(ROTTE!D198&lt;&gt;"",E148-$E$77,"")</f>
        <v/>
      </c>
      <c r="M148" s="14" t="str">
        <f t="shared" si="25"/>
        <v/>
      </c>
      <c r="N148" s="70" t="str">
        <f t="shared" si="26"/>
        <v/>
      </c>
      <c r="O148" s="39" t="str">
        <f t="shared" si="27"/>
        <v/>
      </c>
      <c r="P148" s="20" t="str">
        <f t="shared" si="30"/>
        <v/>
      </c>
      <c r="Q148" s="39" t="e">
        <f t="shared" si="28"/>
        <v>#N/A</v>
      </c>
      <c r="R148" s="39" t="e">
        <f t="shared" si="29"/>
        <v>#N/A</v>
      </c>
      <c r="S148" s="39"/>
      <c r="T148" s="39">
        <f t="shared" si="24"/>
        <v>0</v>
      </c>
      <c r="V148" s="20"/>
      <c r="W148" s="20"/>
      <c r="X148" s="20"/>
      <c r="Y148" s="20"/>
      <c r="Z148" s="20"/>
      <c r="AA148" s="20"/>
      <c r="AB148" s="20"/>
      <c r="AC148" s="20"/>
      <c r="AD148" s="20"/>
    </row>
    <row r="149" spans="1:30" s="22" customFormat="1">
      <c r="A149" s="20">
        <f>A148</f>
        <v>36</v>
      </c>
      <c r="B149" s="20">
        <v>73</v>
      </c>
      <c r="C149" s="80">
        <f>$B$68*(A149-1)/$B$30</f>
        <v>9.5982501004568957E-5</v>
      </c>
      <c r="D149" s="70">
        <f>IF(I149&gt;=0,ASIN(SIN($D$37)*COS(C149)+COS($D$37)*SIN(C149)*COS($C$58)),ASIN(SIN($D$40)*COS(ABS(I149)*SIN($B$69)/SIN($B$70)/$B$30)+COS($D$40)*SIN(ABS(I149)*SIN($B$69)/SIN($B$70)/$B$30)*COS($C$62)))</f>
        <v>0.80033524805092793</v>
      </c>
      <c r="E149" s="70">
        <f>IF(I149&gt;=0,$E$37+ATAN2(COS(C149)-SIN($D$37)*SIN(D149),SIN($C$58)*SIN(C149)*COS($D$37)),$E$40+ATAN2(COS(ABS(I149)*SIN($B$69)/SIN($B$70)/$B$30)-SIN($D$40)*SIN(D149),SIN($C$62)*SIN(ABS(I149)*SIN($B$69)/SIN($B$70)/$B$30)*COS($D$40)))</f>
        <v>0.18797561407585378</v>
      </c>
      <c r="F149" s="14">
        <f t="shared" si="23"/>
        <v>45.855831908874016</v>
      </c>
      <c r="G149" s="14">
        <f t="shared" si="23"/>
        <v>10.770209337926371</v>
      </c>
      <c r="H149" s="39">
        <f t="shared" si="31"/>
        <v>611.67704781678776</v>
      </c>
      <c r="I149" s="39">
        <f>$E$58-H149</f>
        <v>-163.92193146880345</v>
      </c>
      <c r="J149" s="20"/>
      <c r="K149" s="14" t="str">
        <f>IF(ROTTE!C199&lt;&gt;"",LN(TAN(D149/2+PI()/4)/TAN($D$77/2+PI()/4)),"")</f>
        <v/>
      </c>
      <c r="L149" s="14" t="str">
        <f>IF(ROTTE!D199&lt;&gt;"",E149-$E$77,"")</f>
        <v/>
      </c>
      <c r="M149" s="14" t="str">
        <f t="shared" si="25"/>
        <v/>
      </c>
      <c r="N149" s="70" t="str">
        <f t="shared" si="26"/>
        <v/>
      </c>
      <c r="O149" s="39" t="str">
        <f t="shared" si="27"/>
        <v/>
      </c>
      <c r="P149" s="20" t="str">
        <f t="shared" si="30"/>
        <v/>
      </c>
      <c r="Q149" s="39" t="e">
        <f t="shared" si="28"/>
        <v>#N/A</v>
      </c>
      <c r="R149" s="39" t="e">
        <f t="shared" si="29"/>
        <v>#N/A</v>
      </c>
      <c r="S149" s="39"/>
      <c r="T149" s="39">
        <f t="shared" si="24"/>
        <v>0</v>
      </c>
      <c r="V149" s="20"/>
      <c r="W149" s="20"/>
      <c r="X149" s="20"/>
      <c r="Y149" s="20"/>
      <c r="Z149" s="20"/>
      <c r="AA149" s="20"/>
      <c r="AB149" s="20"/>
      <c r="AC149" s="20"/>
      <c r="AD149" s="20"/>
    </row>
    <row r="150" spans="1:30" s="22" customFormat="1">
      <c r="A150" s="20">
        <f>A148+1</f>
        <v>37</v>
      </c>
      <c r="B150" s="20">
        <v>74</v>
      </c>
      <c r="C150" s="80">
        <f>$B$68*(A150-1)/$B$30</f>
        <v>9.8724858176128059E-5</v>
      </c>
      <c r="D150" s="70">
        <f>IF(I150&gt;=0,ASIN(SIN($D$37)*COS(C150)+COS($D$37)*SIN(C150)*COS($C$58)),ASIN(SIN($D$40)*COS(ABS(I150)*SIN($B$69)/SIN($B$70)/$B$30)+COS($D$40)*SIN(ABS(I150)*SIN($B$69)/SIN($B$70)/$B$30)*COS($C$62)))</f>
        <v>0.80032229676564326</v>
      </c>
      <c r="E150" s="70">
        <f>IF(I150&gt;=0,$E$37+ATAN2(COS(C150)-SIN($D$37)*SIN(D150),SIN($C$58)*SIN(C150)*COS($D$37)),$E$40+ATAN2(COS(ABS(I150)*SIN($B$69)/SIN($B$70)/$B$30)-SIN($D$40)*SIN(D150),SIN($C$62)*SIN(ABS(I150)*SIN($B$69)/SIN($B$70)/$B$30)*COS($D$40)))</f>
        <v>0.18796855570405946</v>
      </c>
      <c r="F150" s="14">
        <f t="shared" si="23"/>
        <v>45.855089854887936</v>
      </c>
      <c r="G150" s="14">
        <f t="shared" si="23"/>
        <v>10.769804923012323</v>
      </c>
      <c r="H150" s="39">
        <f t="shared" si="31"/>
        <v>629.15353489726738</v>
      </c>
      <c r="I150" s="39">
        <f>$E$58-H150</f>
        <v>-181.39841854928306</v>
      </c>
      <c r="J150" s="20"/>
      <c r="K150" s="14" t="str">
        <f>IF(ROTTE!C200&lt;&gt;"",LN(TAN(D150/2+PI()/4)/TAN($D$77/2+PI()/4)),"")</f>
        <v/>
      </c>
      <c r="L150" s="14" t="str">
        <f>IF(ROTTE!D200&lt;&gt;"",E150-$E$77,"")</f>
        <v/>
      </c>
      <c r="M150" s="14" t="str">
        <f t="shared" si="25"/>
        <v/>
      </c>
      <c r="N150" s="70" t="str">
        <f t="shared" si="26"/>
        <v/>
      </c>
      <c r="O150" s="39" t="str">
        <f t="shared" si="27"/>
        <v/>
      </c>
      <c r="P150" s="20" t="str">
        <f t="shared" si="30"/>
        <v/>
      </c>
      <c r="Q150" s="39" t="e">
        <f t="shared" si="28"/>
        <v>#N/A</v>
      </c>
      <c r="R150" s="39" t="e">
        <f t="shared" si="29"/>
        <v>#N/A</v>
      </c>
      <c r="S150" s="39"/>
      <c r="T150" s="39">
        <f t="shared" si="24"/>
        <v>0</v>
      </c>
      <c r="V150" s="20"/>
      <c r="W150" s="20"/>
      <c r="X150" s="20"/>
      <c r="Y150" s="20"/>
      <c r="Z150" s="20"/>
      <c r="AA150" s="20"/>
      <c r="AB150" s="20"/>
      <c r="AC150" s="20"/>
      <c r="AD150" s="20"/>
    </row>
    <row r="151" spans="1:30" s="22" customFormat="1">
      <c r="A151" s="20">
        <f>A150</f>
        <v>37</v>
      </c>
      <c r="B151" s="20">
        <v>75</v>
      </c>
      <c r="C151" s="80">
        <f>$B$66*(A151-1)/$B$30</f>
        <v>9.6147595678939632E-5</v>
      </c>
      <c r="D151" s="70">
        <f>IF(I151&gt;=0,ASIN(SIN($D$38)*COS(C151)+COS($D$38)*SIN(C151)*COS($C$50)),ASIN(SIN($D$39)*COS(ABS(I151)*SIN($B$71)/SIN($B$72)/$B$30)+COS($D$39)*SIN(ABS(I151)*SIN($B$71)/SIN($B$72)/$B$30)*COS($C$54)))</f>
        <v>0.80032230429677154</v>
      </c>
      <c r="E151" s="70">
        <f>IF(I151&gt;=0,$E$38+ATAN2(COS(C151)-SIN($D$38)*SIN(D151),SIN($C$50)*SIN(C151)*COS($D$38)),$E$39+ATAN2(COS(ABS(I151)*SIN($B$71)/SIN($B$72)/$B$30)-SIN($D$39)*SIN(D151),SIN($C$54)*SIN(ABS(I151)*SIN($B$71)/SIN($B$72)/$B$30)*COS($D$39)))</f>
        <v>0.18796855865553214</v>
      </c>
      <c r="F151" s="14">
        <f t="shared" si="23"/>
        <v>45.855090286389796</v>
      </c>
      <c r="G151" s="14">
        <f t="shared" si="23"/>
        <v>10.769805092119253</v>
      </c>
      <c r="H151" s="39">
        <f t="shared" si="31"/>
        <v>612.7291627541191</v>
      </c>
      <c r="I151" s="39">
        <f>$E$50-H151</f>
        <v>-158.14518226851396</v>
      </c>
      <c r="J151" s="20"/>
      <c r="K151" s="14" t="str">
        <f>IF(ROTTE!C201&lt;&gt;"",LN(TAN(D151/2+PI()/4)/TAN($D$77/2+PI()/4)),"")</f>
        <v/>
      </c>
      <c r="L151" s="14" t="str">
        <f>IF(ROTTE!D201&lt;&gt;"",E151-$E$77,"")</f>
        <v/>
      </c>
      <c r="M151" s="14" t="str">
        <f t="shared" si="25"/>
        <v/>
      </c>
      <c r="N151" s="70" t="str">
        <f t="shared" si="26"/>
        <v/>
      </c>
      <c r="O151" s="39" t="str">
        <f t="shared" si="27"/>
        <v/>
      </c>
      <c r="P151" s="20" t="str">
        <f t="shared" si="30"/>
        <v/>
      </c>
      <c r="Q151" s="39" t="e">
        <f t="shared" si="28"/>
        <v>#N/A</v>
      </c>
      <c r="R151" s="39" t="e">
        <f t="shared" si="29"/>
        <v>#N/A</v>
      </c>
      <c r="S151" s="39"/>
      <c r="T151" s="39">
        <f t="shared" si="24"/>
        <v>0</v>
      </c>
      <c r="V151" s="20"/>
      <c r="W151" s="20"/>
      <c r="X151" s="20"/>
      <c r="Y151" s="20"/>
      <c r="Z151" s="20"/>
      <c r="AA151" s="20"/>
      <c r="AB151" s="20"/>
      <c r="AC151" s="20"/>
      <c r="AD151" s="20"/>
    </row>
    <row r="152" spans="1:30" s="22" customFormat="1">
      <c r="A152" s="20">
        <f>A150+1</f>
        <v>38</v>
      </c>
      <c r="B152" s="20">
        <v>76</v>
      </c>
      <c r="C152" s="80">
        <f>$B$66*(A152-1)/$B$30</f>
        <v>9.8818362225576832E-5</v>
      </c>
      <c r="D152" s="70">
        <f>IF(I152&gt;=0,ASIN(SIN($D$38)*COS(C152)+COS($D$38)*SIN(C152)*COS($C$50)),ASIN(SIN($D$39)*COS(ABS(I152)*SIN($B$71)/SIN($B$72)/$B$30)+COS($D$39)*SIN(ABS(I152)*SIN($B$71)/SIN($B$72)/$B$30)*COS($C$54)))</f>
        <v>0.80030935301368422</v>
      </c>
      <c r="E152" s="70">
        <f>IF(I152&gt;=0,$E$38+ATAN2(COS(C152)-SIN($D$38)*SIN(D152),SIN($C$50)*SIN(C152)*COS($D$38)),$E$39+ATAN2(COS(ABS(I152)*SIN($B$71)/SIN($B$72)/$B$30)-SIN($D$39)*SIN(D152),SIN($C$54)*SIN(ABS(I152)*SIN($B$71)/SIN($B$72)/$B$30)*COS($D$39)))</f>
        <v>0.18796150036955489</v>
      </c>
      <c r="F152" s="14">
        <f t="shared" si="23"/>
        <v>45.854348232529617</v>
      </c>
      <c r="G152" s="14">
        <f t="shared" si="23"/>
        <v>10.769400682122159</v>
      </c>
      <c r="H152" s="39">
        <f t="shared" si="31"/>
        <v>629.74941727506678</v>
      </c>
      <c r="I152" s="39">
        <f>$E$50-H152</f>
        <v>-175.16543678946164</v>
      </c>
      <c r="J152" s="20"/>
      <c r="K152" s="14" t="str">
        <f>IF(ROTTE!C202&lt;&gt;"",LN(TAN(D152/2+PI()/4)/TAN($D$77/2+PI()/4)),"")</f>
        <v/>
      </c>
      <c r="L152" s="14" t="str">
        <f>IF(ROTTE!D202&lt;&gt;"",E152-$E$77,"")</f>
        <v/>
      </c>
      <c r="M152" s="14" t="str">
        <f t="shared" si="25"/>
        <v/>
      </c>
      <c r="N152" s="70" t="str">
        <f t="shared" si="26"/>
        <v/>
      </c>
      <c r="O152" s="39" t="str">
        <f t="shared" si="27"/>
        <v/>
      </c>
      <c r="P152" s="20" t="str">
        <f t="shared" si="30"/>
        <v/>
      </c>
      <c r="Q152" s="39" t="e">
        <f t="shared" si="28"/>
        <v>#N/A</v>
      </c>
      <c r="R152" s="39" t="e">
        <f t="shared" si="29"/>
        <v>#N/A</v>
      </c>
      <c r="S152" s="39"/>
      <c r="T152" s="39">
        <f t="shared" si="24"/>
        <v>0</v>
      </c>
      <c r="V152" s="20"/>
      <c r="W152" s="20"/>
      <c r="X152" s="20"/>
      <c r="Y152" s="20"/>
      <c r="Z152" s="20"/>
      <c r="AA152" s="20"/>
      <c r="AB152" s="20"/>
      <c r="AC152" s="20"/>
      <c r="AD152" s="20"/>
    </row>
    <row r="153" spans="1:30" s="22" customFormat="1">
      <c r="A153" s="20">
        <f>A152</f>
        <v>38</v>
      </c>
      <c r="B153" s="20">
        <v>77</v>
      </c>
      <c r="C153" s="80">
        <f>$B$68*(A153-1)/$B$30</f>
        <v>1.0146721534768719E-4</v>
      </c>
      <c r="D153" s="70">
        <f>IF(I153&gt;=0,ASIN(SIN($D$37)*COS(C153)+COS($D$37)*SIN(C153)*COS($C$58)),ASIN(SIN($D$40)*COS(ABS(I153)*SIN($B$69)/SIN($B$70)/$B$30)+COS($D$40)*SIN(ABS(I153)*SIN($B$69)/SIN($B$70)/$B$30)*COS($C$62)))</f>
        <v>0.80030934545545962</v>
      </c>
      <c r="E153" s="70">
        <f>IF(I153&gt;=0,$E$37+ATAN2(COS(C153)-SIN($D$37)*SIN(D153),SIN($C$58)*SIN(C153)*COS($D$37)),$E$40+ATAN2(COS(ABS(I153)*SIN($B$69)/SIN($B$70)/$B$30)-SIN($D$40)*SIN(D153),SIN($C$62)*SIN(ABS(I153)*SIN($B$69)/SIN($B$70)/$B$30)*COS($D$40)))</f>
        <v>0.18796149752063301</v>
      </c>
      <c r="F153" s="14">
        <f t="shared" si="23"/>
        <v>45.854347799475242</v>
      </c>
      <c r="G153" s="14">
        <f t="shared" si="23"/>
        <v>10.769400518890958</v>
      </c>
      <c r="H153" s="39">
        <f t="shared" si="31"/>
        <v>646.63002197774711</v>
      </c>
      <c r="I153" s="39">
        <f>$E$58-H153</f>
        <v>-198.87490562976279</v>
      </c>
      <c r="J153" s="20"/>
      <c r="K153" s="14" t="str">
        <f>IF(ROTTE!C203&lt;&gt;"",LN(TAN(D153/2+PI()/4)/TAN($D$77/2+PI()/4)),"")</f>
        <v/>
      </c>
      <c r="L153" s="14" t="str">
        <f>IF(ROTTE!D203&lt;&gt;"",E153-$E$77,"")</f>
        <v/>
      </c>
      <c r="M153" s="14" t="str">
        <f t="shared" si="25"/>
        <v/>
      </c>
      <c r="N153" s="70" t="str">
        <f t="shared" si="26"/>
        <v/>
      </c>
      <c r="O153" s="39" t="str">
        <f t="shared" si="27"/>
        <v/>
      </c>
      <c r="P153" s="20" t="str">
        <f t="shared" si="30"/>
        <v/>
      </c>
      <c r="Q153" s="39" t="e">
        <f t="shared" si="28"/>
        <v>#N/A</v>
      </c>
      <c r="R153" s="39" t="e">
        <f t="shared" si="29"/>
        <v>#N/A</v>
      </c>
      <c r="S153" s="39"/>
      <c r="T153" s="39">
        <f t="shared" si="24"/>
        <v>0</v>
      </c>
      <c r="V153" s="20"/>
      <c r="W153" s="20"/>
      <c r="X153" s="20"/>
      <c r="Y153" s="20"/>
      <c r="Z153" s="20"/>
      <c r="AA153" s="20"/>
      <c r="AB153" s="20"/>
      <c r="AC153" s="20"/>
      <c r="AD153" s="20"/>
    </row>
    <row r="154" spans="1:30" s="22" customFormat="1">
      <c r="A154" s="20">
        <f>A152+1</f>
        <v>39</v>
      </c>
      <c r="B154" s="20">
        <v>78</v>
      </c>
      <c r="C154" s="80">
        <f>$B$68*(A154-1)/$B$30</f>
        <v>1.0420957251924629E-4</v>
      </c>
      <c r="D154" s="70">
        <f>IF(I154&gt;=0,ASIN(SIN($D$37)*COS(C154)+COS($D$37)*SIN(C154)*COS($C$58)),ASIN(SIN($D$40)*COS(ABS(I154)*SIN($B$69)/SIN($B$70)/$B$30)+COS($D$40)*SIN(ABS(I154)*SIN($B$69)/SIN($B$70)/$B$30)*COS($C$62)))</f>
        <v>0.80029639412037901</v>
      </c>
      <c r="E154" s="70">
        <f>IF(I154&gt;=0,$E$37+ATAN2(COS(C154)-SIN($D$37)*SIN(D154),SIN($C$58)*SIN(C154)*COS($D$37)),$E$40+ATAN2(COS(ABS(I154)*SIN($B$69)/SIN($B$70)/$B$30)-SIN($D$40)*SIN(D154),SIN($C$62)*SIN(ABS(I154)*SIN($B$69)/SIN($B$70)/$B$30)*COS($D$40)))</f>
        <v>0.18795443952556493</v>
      </c>
      <c r="F154" s="14">
        <f t="shared" si="23"/>
        <v>45.853605742636063</v>
      </c>
      <c r="G154" s="14">
        <f t="shared" si="23"/>
        <v>10.768996125561733</v>
      </c>
      <c r="H154" s="39">
        <f t="shared" si="31"/>
        <v>664.10650905822672</v>
      </c>
      <c r="I154" s="39">
        <f>$E$58-H154</f>
        <v>-216.35139271024241</v>
      </c>
      <c r="J154" s="20"/>
      <c r="K154" s="14" t="str">
        <f>IF(ROTTE!C204&lt;&gt;"",LN(TAN(D154/2+PI()/4)/TAN($D$77/2+PI()/4)),"")</f>
        <v/>
      </c>
      <c r="L154" s="14" t="str">
        <f>IF(ROTTE!D204&lt;&gt;"",E154-$E$77,"")</f>
        <v/>
      </c>
      <c r="M154" s="14" t="str">
        <f t="shared" si="25"/>
        <v/>
      </c>
      <c r="N154" s="70" t="str">
        <f t="shared" si="26"/>
        <v/>
      </c>
      <c r="O154" s="39" t="str">
        <f t="shared" si="27"/>
        <v/>
      </c>
      <c r="P154" s="20" t="str">
        <f t="shared" si="30"/>
        <v/>
      </c>
      <c r="Q154" s="39" t="e">
        <f t="shared" si="28"/>
        <v>#N/A</v>
      </c>
      <c r="R154" s="39" t="e">
        <f t="shared" si="29"/>
        <v>#N/A</v>
      </c>
      <c r="S154" s="39"/>
      <c r="T154" s="39">
        <f t="shared" si="24"/>
        <v>0</v>
      </c>
      <c r="V154" s="20"/>
      <c r="W154" s="20"/>
      <c r="X154" s="20"/>
      <c r="Y154" s="20"/>
      <c r="Z154" s="20"/>
      <c r="AA154" s="20"/>
      <c r="AB154" s="20"/>
      <c r="AC154" s="20"/>
      <c r="AD154" s="20"/>
    </row>
    <row r="155" spans="1:30" s="22" customFormat="1">
      <c r="A155" s="20">
        <f>A154</f>
        <v>39</v>
      </c>
      <c r="B155" s="20">
        <v>79</v>
      </c>
      <c r="C155" s="80">
        <f>$B$66*(A155-1)/$B$30</f>
        <v>1.0148912877221405E-4</v>
      </c>
      <c r="D155" s="70">
        <f>IF(I155&gt;=0,ASIN(SIN($D$38)*COS(C155)+COS($D$38)*SIN(C155)*COS($C$50)),ASIN(SIN($D$39)*COS(ABS(I155)*SIN($B$71)/SIN($B$72)/$B$30)+COS($D$39)*SIN(ABS(I155)*SIN($B$71)/SIN($B$72)/$B$30)*COS($C$54)))</f>
        <v>0.80029640170569882</v>
      </c>
      <c r="E155" s="70">
        <f>IF(I155&gt;=0,$E$38+ATAN2(COS(C155)-SIN($D$38)*SIN(D155),SIN($C$50)*SIN(C155)*COS($D$38)),$E$39+ATAN2(COS(ABS(I155)*SIN($B$71)/SIN($B$72)/$B$30)-SIN($D$39)*SIN(D155),SIN($C$54)*SIN(ABS(I155)*SIN($B$71)/SIN($B$72)/$B$30)*COS($D$39)))</f>
        <v>0.18795444227193833</v>
      </c>
      <c r="F155" s="14">
        <f t="shared" si="23"/>
        <v>45.853606177242881</v>
      </c>
      <c r="G155" s="14">
        <f t="shared" si="23"/>
        <v>10.768996282917339</v>
      </c>
      <c r="H155" s="39">
        <f t="shared" si="31"/>
        <v>646.76967179601456</v>
      </c>
      <c r="I155" s="39">
        <f>$E$50-H155</f>
        <v>-192.18569131040942</v>
      </c>
      <c r="J155" s="20"/>
      <c r="K155" s="14" t="str">
        <f>IF(ROTTE!C205&lt;&gt;"",LN(TAN(D155/2+PI()/4)/TAN($D$77/2+PI()/4)),"")</f>
        <v/>
      </c>
      <c r="L155" s="14" t="str">
        <f>IF(ROTTE!D205&lt;&gt;"",E155-$E$77,"")</f>
        <v/>
      </c>
      <c r="M155" s="14" t="str">
        <f t="shared" si="25"/>
        <v/>
      </c>
      <c r="N155" s="70" t="str">
        <f t="shared" si="26"/>
        <v/>
      </c>
      <c r="O155" s="39" t="str">
        <f t="shared" si="27"/>
        <v/>
      </c>
      <c r="P155" s="20" t="str">
        <f t="shared" si="30"/>
        <v/>
      </c>
      <c r="Q155" s="39" t="e">
        <f t="shared" si="28"/>
        <v>#N/A</v>
      </c>
      <c r="R155" s="39" t="e">
        <f t="shared" si="29"/>
        <v>#N/A</v>
      </c>
      <c r="S155" s="39"/>
      <c r="T155" s="39">
        <f t="shared" si="24"/>
        <v>0</v>
      </c>
      <c r="V155" s="20"/>
      <c r="W155" s="20"/>
      <c r="X155" s="20"/>
      <c r="Y155" s="20"/>
      <c r="Z155" s="20"/>
      <c r="AA155" s="20"/>
      <c r="AB155" s="20"/>
      <c r="AC155" s="20"/>
      <c r="AD155" s="20"/>
    </row>
    <row r="156" spans="1:30" s="22" customFormat="1">
      <c r="A156" s="20">
        <f>A154+1</f>
        <v>40</v>
      </c>
      <c r="B156" s="20">
        <v>80</v>
      </c>
      <c r="C156" s="80">
        <f>$B$66*(A156-1)/$B$30</f>
        <v>1.0415989531885126E-4</v>
      </c>
      <c r="D156" s="70">
        <f>IF(I156&gt;=0,ASIN(SIN($D$38)*COS(C156)+COS($D$38)*SIN(C156)*COS($C$50)),ASIN(SIN($D$39)*COS(ABS(I156)*SIN($B$71)/SIN($B$72)/$B$30)+COS($D$39)*SIN(ABS(I156)*SIN($B$71)/SIN($B$72)/$B$30)*COS($C$54)))</f>
        <v>0.80028345037281712</v>
      </c>
      <c r="E156" s="70">
        <f>IF(I156&gt;=0,$E$38+ATAN2(COS(C156)-SIN($D$38)*SIN(D156),SIN($C$50)*SIN(C156)*COS($D$38)),$E$39+ATAN2(COS(ABS(I156)*SIN($B$71)/SIN($B$72)/$B$30)-SIN($D$39)*SIN(D156),SIN($C$54)*SIN(ABS(I156)*SIN($B$71)/SIN($B$72)/$B$30)*COS($D$39)))</f>
        <v>0.18794738436267291</v>
      </c>
      <c r="F156" s="14">
        <f t="shared" si="23"/>
        <v>45.852864120529688</v>
      </c>
      <c r="G156" s="14">
        <f t="shared" si="23"/>
        <v>10.768591894504244</v>
      </c>
      <c r="H156" s="39">
        <f t="shared" si="31"/>
        <v>663.78992631696235</v>
      </c>
      <c r="I156" s="39">
        <f>$E$50-H156</f>
        <v>-209.20594583135721</v>
      </c>
      <c r="J156" s="20"/>
      <c r="K156" s="14" t="str">
        <f>IF(ROTTE!C206&lt;&gt;"",LN(TAN(D156/2+PI()/4)/TAN($D$77/2+PI()/4)),"")</f>
        <v/>
      </c>
      <c r="L156" s="14" t="str">
        <f>IF(ROTTE!D206&lt;&gt;"",E156-$E$77,"")</f>
        <v/>
      </c>
      <c r="M156" s="14" t="str">
        <f t="shared" si="25"/>
        <v/>
      </c>
      <c r="N156" s="70" t="str">
        <f t="shared" si="26"/>
        <v/>
      </c>
      <c r="O156" s="39" t="str">
        <f t="shared" si="27"/>
        <v/>
      </c>
      <c r="P156" s="20" t="str">
        <f t="shared" si="30"/>
        <v/>
      </c>
      <c r="Q156" s="39" t="e">
        <f t="shared" si="28"/>
        <v>#N/A</v>
      </c>
      <c r="R156" s="39" t="e">
        <f t="shared" si="29"/>
        <v>#N/A</v>
      </c>
      <c r="S156" s="39"/>
      <c r="T156" s="39">
        <f t="shared" si="24"/>
        <v>0</v>
      </c>
      <c r="V156" s="20"/>
      <c r="W156" s="20"/>
      <c r="X156" s="20"/>
      <c r="Y156" s="20"/>
      <c r="Z156" s="20"/>
      <c r="AA156" s="20"/>
      <c r="AB156" s="20"/>
      <c r="AC156" s="20"/>
      <c r="AD156" s="20"/>
    </row>
    <row r="157" spans="1:30" s="22" customFormat="1">
      <c r="A157" s="20">
        <f>A156</f>
        <v>40</v>
      </c>
      <c r="B157" s="20">
        <v>81</v>
      </c>
      <c r="C157" s="80">
        <f>$B$68*(A157-1)/$B$30</f>
        <v>1.0695192969080541E-4</v>
      </c>
      <c r="D157" s="70">
        <f>IF(I157&gt;=0,ASIN(SIN($D$37)*COS(C157)+COS($D$37)*SIN(C157)*COS($C$58)),ASIN(SIN($D$40)*COS(ABS(I157)*SIN($B$69)/SIN($B$70)/$B$30)+COS($D$40)*SIN(ABS(I157)*SIN($B$69)/SIN($B$70)/$B$30)*COS($C$62)))</f>
        <v>0.80028344276040253</v>
      </c>
      <c r="E157" s="70">
        <f>IF(I157&gt;=0,$E$37+ATAN2(COS(C157)-SIN($D$37)*SIN(D157),SIN($C$58)*SIN(C157)*COS($D$37)),$E$40+ATAN2(COS(ABS(I157)*SIN($B$69)/SIN($B$70)/$B$30)-SIN($D$40)*SIN(D157),SIN($C$62)*SIN(ABS(I157)*SIN($B$69)/SIN($B$70)/$B$30)*COS($D$40)))</f>
        <v>0.18794738171884565</v>
      </c>
      <c r="F157" s="14">
        <f t="shared" ref="F157:G175" si="32">D157*180/PI()</f>
        <v>45.852863684370462</v>
      </c>
      <c r="G157" s="14">
        <f t="shared" si="32"/>
        <v>10.7685917430241</v>
      </c>
      <c r="H157" s="39">
        <f t="shared" si="31"/>
        <v>681.58299613870633</v>
      </c>
      <c r="I157" s="39">
        <f>$E$58-H157</f>
        <v>-233.82787979072202</v>
      </c>
      <c r="J157" s="20"/>
      <c r="K157" s="14" t="str">
        <f>IF(ROTTE!C207&lt;&gt;"",LN(TAN(D157/2+PI()/4)/TAN($D$77/2+PI()/4)),"")</f>
        <v/>
      </c>
      <c r="L157" s="14" t="str">
        <f>IF(ROTTE!D207&lt;&gt;"",E157-$E$77,"")</f>
        <v/>
      </c>
      <c r="M157" s="14" t="str">
        <f t="shared" si="25"/>
        <v/>
      </c>
      <c r="N157" s="70" t="str">
        <f t="shared" si="26"/>
        <v/>
      </c>
      <c r="O157" s="39" t="str">
        <f t="shared" si="27"/>
        <v/>
      </c>
      <c r="P157" s="20" t="str">
        <f t="shared" si="30"/>
        <v/>
      </c>
      <c r="Q157" s="39" t="e">
        <f t="shared" si="28"/>
        <v>#N/A</v>
      </c>
      <c r="R157" s="39" t="e">
        <f t="shared" si="29"/>
        <v>#N/A</v>
      </c>
      <c r="S157" s="39"/>
      <c r="T157" s="39">
        <f t="shared" si="24"/>
        <v>0</v>
      </c>
      <c r="V157" s="20"/>
      <c r="W157" s="20"/>
      <c r="X157" s="20"/>
      <c r="Y157" s="20"/>
      <c r="Z157" s="20"/>
      <c r="AA157" s="20"/>
      <c r="AB157" s="20"/>
      <c r="AC157" s="20"/>
      <c r="AD157" s="20"/>
    </row>
    <row r="158" spans="1:30" s="22" customFormat="1">
      <c r="A158" s="20">
        <f>A156+1</f>
        <v>41</v>
      </c>
      <c r="B158" s="20">
        <v>82</v>
      </c>
      <c r="C158" s="80">
        <f>$B$68*(A158-1)/$B$30</f>
        <v>1.0969428686236451E-4</v>
      </c>
      <c r="D158" s="70">
        <f>IF(I158&gt;=0,ASIN(SIN($D$37)*COS(C158)+COS($D$37)*SIN(C158)*COS($C$58)),ASIN(SIN($D$40)*COS(ABS(I158)*SIN($B$69)/SIN($B$70)/$B$30)+COS($D$40)*SIN(ABS(I158)*SIN($B$69)/SIN($B$70)/$B$30)*COS($C$62)))</f>
        <v>0.80027049137553152</v>
      </c>
      <c r="E158" s="70">
        <f>IF(I158&gt;=0,$E$37+ATAN2(COS(C158)-SIN($D$37)*SIN(D158),SIN($C$58)*SIN(C158)*COS($D$37)),$E$40+ATAN2(COS(ABS(I158)*SIN($B$69)/SIN($B$70)/$B$30)-SIN($D$40)*SIN(D158),SIN($C$62)*SIN(ABS(I158)*SIN($B$69)/SIN($B$70)/$B$30)*COS($D$40)))</f>
        <v>0.18794032410046563</v>
      </c>
      <c r="F158" s="14">
        <f t="shared" si="32"/>
        <v>45.852121624678503</v>
      </c>
      <c r="G158" s="14">
        <f t="shared" si="32"/>
        <v>10.768187371277509</v>
      </c>
      <c r="H158" s="39">
        <f t="shared" si="31"/>
        <v>699.05948321918595</v>
      </c>
      <c r="I158" s="39">
        <f>$E$58-H158</f>
        <v>-251.30436687120164</v>
      </c>
      <c r="J158" s="20"/>
      <c r="K158" s="14" t="str">
        <f>IF(ROTTE!C208&lt;&gt;"",LN(TAN(D158/2+PI()/4)/TAN($D$77/2+PI()/4)),"")</f>
        <v/>
      </c>
      <c r="L158" s="14" t="str">
        <f>IF(ROTTE!D208&lt;&gt;"",E158-$E$77,"")</f>
        <v/>
      </c>
      <c r="M158" s="14" t="str">
        <f t="shared" si="25"/>
        <v/>
      </c>
      <c r="N158" s="70" t="str">
        <f t="shared" si="26"/>
        <v/>
      </c>
      <c r="O158" s="39" t="str">
        <f t="shared" si="27"/>
        <v/>
      </c>
      <c r="P158" s="20" t="str">
        <f t="shared" si="30"/>
        <v/>
      </c>
      <c r="Q158" s="39" t="e">
        <f t="shared" si="28"/>
        <v>#N/A</v>
      </c>
      <c r="R158" s="39" t="e">
        <f t="shared" si="29"/>
        <v>#N/A</v>
      </c>
      <c r="S158" s="39"/>
      <c r="T158" s="39">
        <f t="shared" si="24"/>
        <v>0</v>
      </c>
      <c r="V158" s="20"/>
      <c r="W158" s="20"/>
      <c r="X158" s="20"/>
      <c r="Y158" s="20"/>
      <c r="Z158" s="20"/>
      <c r="AA158" s="20"/>
      <c r="AB158" s="20"/>
      <c r="AC158" s="20"/>
      <c r="AD158" s="20"/>
    </row>
    <row r="159" spans="1:30" s="22" customFormat="1">
      <c r="A159" s="20">
        <f>A158</f>
        <v>41</v>
      </c>
      <c r="B159" s="20">
        <v>83</v>
      </c>
      <c r="C159" s="80">
        <f>$B$66*(A159-1)/$B$30</f>
        <v>1.0683066186548847E-4</v>
      </c>
      <c r="D159" s="70">
        <f>IF(I159&gt;=0,ASIN(SIN($D$38)*COS(C159)+COS($D$38)*SIN(C159)*COS($C$50)),ASIN(SIN($D$39)*COS(ABS(I159)*SIN($B$71)/SIN($B$72)/$B$30)+COS($D$39)*SIN(ABS(I159)*SIN($B$71)/SIN($B$72)/$B$30)*COS($C$54)))</f>
        <v>0.80027049901503988</v>
      </c>
      <c r="E159" s="70">
        <f>IF(I159&gt;=0,$E$38+ATAN2(COS(C159)-SIN($D$38)*SIN(D159),SIN($C$50)*SIN(C159)*COS($D$38)),$E$39+ATAN2(COS(ABS(I159)*SIN($B$71)/SIN($B$72)/$B$30)-SIN($D$39)*SIN(D159),SIN($C$54)*SIN(ABS(I159)*SIN($B$71)/SIN($B$72)/$B$30)*COS($D$39)))</f>
        <v>0.18794032664174909</v>
      </c>
      <c r="F159" s="14">
        <f t="shared" si="32"/>
        <v>45.852122062390094</v>
      </c>
      <c r="G159" s="14">
        <f t="shared" si="32"/>
        <v>10.768187516882328</v>
      </c>
      <c r="H159" s="39">
        <f t="shared" si="31"/>
        <v>680.81018083791014</v>
      </c>
      <c r="I159" s="39">
        <f>$E$50-H159</f>
        <v>-226.226200352305</v>
      </c>
      <c r="J159" s="20"/>
      <c r="K159" s="14" t="str">
        <f>IF(ROTTE!C209&lt;&gt;"",LN(TAN(D159/2+PI()/4)/TAN($D$77/2+PI()/4)),"")</f>
        <v/>
      </c>
      <c r="L159" s="14" t="str">
        <f>IF(ROTTE!D209&lt;&gt;"",E159-$E$77,"")</f>
        <v/>
      </c>
      <c r="M159" s="14" t="str">
        <f t="shared" si="25"/>
        <v/>
      </c>
      <c r="N159" s="70" t="str">
        <f t="shared" si="26"/>
        <v/>
      </c>
      <c r="O159" s="39" t="str">
        <f t="shared" si="27"/>
        <v/>
      </c>
      <c r="P159" s="20" t="str">
        <f t="shared" si="30"/>
        <v/>
      </c>
      <c r="Q159" s="39" t="e">
        <f t="shared" si="28"/>
        <v>#N/A</v>
      </c>
      <c r="R159" s="39" t="e">
        <f t="shared" si="29"/>
        <v>#N/A</v>
      </c>
      <c r="S159" s="39"/>
      <c r="T159" s="39">
        <f t="shared" si="24"/>
        <v>0</v>
      </c>
      <c r="V159" s="20"/>
      <c r="W159" s="20"/>
      <c r="X159" s="20"/>
      <c r="Y159" s="20"/>
      <c r="Z159" s="20"/>
      <c r="AA159" s="20"/>
      <c r="AB159" s="20"/>
      <c r="AC159" s="20"/>
      <c r="AD159" s="20"/>
    </row>
    <row r="160" spans="1:30" s="22" customFormat="1">
      <c r="A160" s="20">
        <f>A158+1</f>
        <v>42</v>
      </c>
      <c r="B160" s="20">
        <v>84</v>
      </c>
      <c r="C160" s="80">
        <f>$B$66*(A160-1)/$B$30</f>
        <v>1.0950142841212567E-4</v>
      </c>
      <c r="D160" s="70">
        <f>IF(I160&gt;=0,ASIN(SIN($D$38)*COS(C160)+COS($D$38)*SIN(C160)*COS($C$50)),ASIN(SIN($D$39)*COS(ABS(I160)*SIN($B$71)/SIN($B$72)/$B$30)+COS($D$39)*SIN(ABS(I160)*SIN($B$71)/SIN($B$72)/$B$30)*COS($C$54)))</f>
        <v>0.80025754763236856</v>
      </c>
      <c r="E160" s="70">
        <f>IF(I160&gt;=0,$E$38+ATAN2(COS(C160)-SIN($D$38)*SIN(D160),SIN($C$50)*SIN(C160)*COS($D$38)),$E$39+ATAN2(COS(ABS(I160)*SIN($B$71)/SIN($B$72)/$B$30)-SIN($D$39)*SIN(D160),SIN($C$54)*SIN(ABS(I160)*SIN($B$71)/SIN($B$72)/$B$30)*COS($D$39)))</f>
        <v>0.18793326910915734</v>
      </c>
      <c r="F160" s="14">
        <f t="shared" si="32"/>
        <v>45.851380002824165</v>
      </c>
      <c r="G160" s="14">
        <f t="shared" si="32"/>
        <v>10.767783150051045</v>
      </c>
      <c r="H160" s="39">
        <f t="shared" si="31"/>
        <v>697.83043535885781</v>
      </c>
      <c r="I160" s="39">
        <f>$E$50-H160</f>
        <v>-243.24645487325267</v>
      </c>
      <c r="J160" s="20"/>
      <c r="K160" s="14" t="str">
        <f>IF(ROTTE!C210&lt;&gt;"",LN(TAN(D160/2+PI()/4)/TAN($D$77/2+PI()/4)),"")</f>
        <v/>
      </c>
      <c r="L160" s="14" t="str">
        <f>IF(ROTTE!D210&lt;&gt;"",E160-$E$77,"")</f>
        <v/>
      </c>
      <c r="M160" s="14" t="str">
        <f t="shared" si="25"/>
        <v/>
      </c>
      <c r="N160" s="70" t="str">
        <f t="shared" si="26"/>
        <v/>
      </c>
      <c r="O160" s="39" t="str">
        <f t="shared" si="27"/>
        <v/>
      </c>
      <c r="P160" s="20" t="str">
        <f t="shared" si="30"/>
        <v/>
      </c>
      <c r="Q160" s="39" t="e">
        <f t="shared" si="28"/>
        <v>#N/A</v>
      </c>
      <c r="R160" s="39" t="e">
        <f t="shared" si="29"/>
        <v>#N/A</v>
      </c>
      <c r="S160" s="39"/>
      <c r="T160" s="39">
        <f t="shared" si="24"/>
        <v>0</v>
      </c>
      <c r="V160" s="20"/>
      <c r="W160" s="20"/>
      <c r="X160" s="20"/>
      <c r="Y160" s="20"/>
      <c r="Z160" s="20"/>
      <c r="AA160" s="20"/>
      <c r="AB160" s="20"/>
      <c r="AC160" s="20"/>
      <c r="AD160" s="20"/>
    </row>
    <row r="161" spans="1:30" s="22" customFormat="1">
      <c r="A161" s="20">
        <f>A160</f>
        <v>42</v>
      </c>
      <c r="B161" s="20">
        <v>85</v>
      </c>
      <c r="C161" s="80">
        <f>$B$68*(A161-1)/$B$30</f>
        <v>1.1243664403392364E-4</v>
      </c>
      <c r="D161" s="70">
        <f>IF(I161&gt;=0,ASIN(SIN($D$37)*COS(C161)+COS($D$37)*SIN(C161)*COS($C$58)),ASIN(SIN($D$40)*COS(ABS(I161)*SIN($B$69)/SIN($B$70)/$B$30)+COS($D$40)*SIN(ABS(I161)*SIN($B$69)/SIN($B$70)/$B$30)*COS($C$62)))</f>
        <v>0.8002575399657671</v>
      </c>
      <c r="E161" s="70">
        <f>IF(I161&gt;=0,$E$37+ATAN2(COS(C161)-SIN($D$37)*SIN(D161),SIN($C$58)*SIN(C161)*COS($D$37)),$E$40+ATAN2(COS(ABS(I161)*SIN($B$69)/SIN($B$70)/$B$30)-SIN($D$40)*SIN(D161),SIN($C$62)*SIN(ABS(I161)*SIN($B$69)/SIN($B$70)/$B$30)*COS($D$40)))</f>
        <v>0.18793326667041529</v>
      </c>
      <c r="F161" s="14">
        <f t="shared" si="32"/>
        <v>45.851379563560258</v>
      </c>
      <c r="G161" s="14">
        <f t="shared" si="32"/>
        <v>10.767783010321416</v>
      </c>
      <c r="H161" s="39">
        <f t="shared" si="31"/>
        <v>716.53597029966568</v>
      </c>
      <c r="I161" s="39">
        <f>$E$58-H161</f>
        <v>-268.78085395168137</v>
      </c>
      <c r="J161" s="20"/>
      <c r="K161" s="14" t="str">
        <f>IF(ROTTE!C211&lt;&gt;"",LN(TAN(D161/2+PI()/4)/TAN($D$77/2+PI()/4)),"")</f>
        <v/>
      </c>
      <c r="L161" s="14" t="str">
        <f>IF(ROTTE!D211&lt;&gt;"",E161-$E$77,"")</f>
        <v/>
      </c>
      <c r="M161" s="14" t="str">
        <f t="shared" si="25"/>
        <v/>
      </c>
      <c r="N161" s="70" t="str">
        <f t="shared" si="26"/>
        <v/>
      </c>
      <c r="O161" s="39" t="str">
        <f t="shared" si="27"/>
        <v/>
      </c>
      <c r="P161" s="20" t="str">
        <f t="shared" si="30"/>
        <v/>
      </c>
      <c r="Q161" s="39" t="e">
        <f t="shared" si="28"/>
        <v>#N/A</v>
      </c>
      <c r="R161" s="39" t="e">
        <f t="shared" si="29"/>
        <v>#N/A</v>
      </c>
      <c r="S161" s="39"/>
      <c r="T161" s="39">
        <f t="shared" si="24"/>
        <v>0</v>
      </c>
      <c r="V161" s="20"/>
      <c r="W161" s="20"/>
      <c r="X161" s="20"/>
      <c r="Y161" s="20"/>
      <c r="Z161" s="20"/>
      <c r="AA161" s="20"/>
      <c r="AB161" s="20"/>
      <c r="AC161" s="20"/>
      <c r="AD161" s="20"/>
    </row>
    <row r="162" spans="1:30" s="22" customFormat="1">
      <c r="A162" s="20">
        <f>A160+1</f>
        <v>43</v>
      </c>
      <c r="B162" s="20">
        <v>86</v>
      </c>
      <c r="C162" s="80">
        <f>$B$68*(A162-1)/$B$30</f>
        <v>1.1517900120548274E-4</v>
      </c>
      <c r="D162" s="70">
        <f>IF(I162&gt;=0,ASIN(SIN($D$37)*COS(C162)+COS($D$37)*SIN(C162)*COS($C$58)),ASIN(SIN($D$40)*COS(ABS(I162)*SIN($B$69)/SIN($B$70)/$B$30)+COS($D$40)*SIN(ABS(I162)*SIN($B$69)/SIN($B$70)/$B$30)*COS($C$62)))</f>
        <v>0.80024458853111047</v>
      </c>
      <c r="E162" s="70">
        <f>IF(I162&gt;=0,$E$37+ATAN2(COS(C162)-SIN($D$37)*SIN(D162),SIN($C$58)*SIN(C162)*COS($D$37)),$E$40+ATAN2(COS(ABS(I162)*SIN($B$69)/SIN($B$70)/$B$30)-SIN($D$40)*SIN(D162),SIN($C$62)*SIN(ABS(I162)*SIN($B$69)/SIN($B$70)/$B$30)*COS($D$40)))</f>
        <v>0.18792620942868515</v>
      </c>
      <c r="F162" s="14">
        <f t="shared" si="32"/>
        <v>45.85063750101579</v>
      </c>
      <c r="G162" s="14">
        <f t="shared" si="32"/>
        <v>10.767378660155275</v>
      </c>
      <c r="H162" s="39">
        <f t="shared" si="31"/>
        <v>734.01245738014529</v>
      </c>
      <c r="I162" s="39">
        <f>$E$58-H162</f>
        <v>-286.25734103216098</v>
      </c>
      <c r="J162" s="20"/>
      <c r="K162" s="14" t="str">
        <f>IF(ROTTE!C212&lt;&gt;"",LN(TAN(D162/2+PI()/4)/TAN($D$77/2+PI()/4)),"")</f>
        <v/>
      </c>
      <c r="L162" s="14" t="str">
        <f>IF(ROTTE!D212&lt;&gt;"",E162-$E$77,"")</f>
        <v/>
      </c>
      <c r="M162" s="14" t="str">
        <f t="shared" si="25"/>
        <v/>
      </c>
      <c r="N162" s="70" t="str">
        <f t="shared" si="26"/>
        <v/>
      </c>
      <c r="O162" s="39" t="str">
        <f t="shared" si="27"/>
        <v/>
      </c>
      <c r="P162" s="20" t="str">
        <f t="shared" si="30"/>
        <v/>
      </c>
      <c r="Q162" s="39" t="e">
        <f t="shared" si="28"/>
        <v>#N/A</v>
      </c>
      <c r="R162" s="39" t="e">
        <f t="shared" si="29"/>
        <v>#N/A</v>
      </c>
      <c r="S162" s="39"/>
      <c r="T162" s="39">
        <f t="shared" si="24"/>
        <v>0</v>
      </c>
      <c r="V162" s="20"/>
      <c r="W162" s="20"/>
      <c r="X162" s="20"/>
      <c r="Y162" s="20"/>
      <c r="Z162" s="20"/>
      <c r="AA162" s="20"/>
      <c r="AB162" s="20"/>
      <c r="AC162" s="20"/>
      <c r="AD162" s="20"/>
    </row>
    <row r="163" spans="1:30" s="22" customFormat="1">
      <c r="A163" s="20">
        <f>A162</f>
        <v>43</v>
      </c>
      <c r="B163" s="20">
        <v>87</v>
      </c>
      <c r="C163" s="80">
        <f>$B$66*(A163-1)/$B$30</f>
        <v>1.121721949587629E-4</v>
      </c>
      <c r="D163" s="70">
        <f>IF(I163&gt;=0,ASIN(SIN($D$38)*COS(C163)+COS($D$38)*SIN(C163)*COS($C$50)),ASIN(SIN($D$39)*COS(ABS(I163)*SIN($B$71)/SIN($B$72)/$B$30)+COS($D$39)*SIN(ABS(I163)*SIN($B$71)/SIN($B$72)/$B$30)*COS($C$54)))</f>
        <v>0.80024459622480471</v>
      </c>
      <c r="E163" s="70">
        <f>IF(I163&gt;=0,$E$38+ATAN2(COS(C163)-SIN($D$38)*SIN(D163),SIN($C$50)*SIN(C163)*COS($D$38)),$E$39+ATAN2(COS(ABS(I163)*SIN($B$71)/SIN($B$72)/$B$30)-SIN($D$39)*SIN(D163),SIN($C$54)*SIN(ABS(I163)*SIN($B$71)/SIN($B$72)/$B$30)*COS($D$39)))</f>
        <v>0.18792621176488808</v>
      </c>
      <c r="F163" s="14">
        <f t="shared" si="32"/>
        <v>45.850637941831998</v>
      </c>
      <c r="G163" s="14">
        <f t="shared" si="32"/>
        <v>10.767378794009844</v>
      </c>
      <c r="H163" s="39">
        <f t="shared" si="31"/>
        <v>714.8506898798056</v>
      </c>
      <c r="I163" s="39">
        <f>$E$50-H163</f>
        <v>-260.26670939420046</v>
      </c>
      <c r="J163" s="20"/>
      <c r="K163" s="14" t="str">
        <f>IF(ROTTE!C213&lt;&gt;"",LN(TAN(D163/2+PI()/4)/TAN($D$77/2+PI()/4)),"")</f>
        <v/>
      </c>
      <c r="L163" s="14" t="str">
        <f>IF(ROTTE!D213&lt;&gt;"",E163-$E$77,"")</f>
        <v/>
      </c>
      <c r="M163" s="14" t="str">
        <f t="shared" si="25"/>
        <v/>
      </c>
      <c r="N163" s="70" t="str">
        <f t="shared" si="26"/>
        <v/>
      </c>
      <c r="O163" s="39" t="str">
        <f t="shared" si="27"/>
        <v/>
      </c>
      <c r="P163" s="20" t="str">
        <f t="shared" si="30"/>
        <v/>
      </c>
      <c r="Q163" s="39" t="e">
        <f t="shared" si="28"/>
        <v>#N/A</v>
      </c>
      <c r="R163" s="39" t="e">
        <f t="shared" si="29"/>
        <v>#N/A</v>
      </c>
      <c r="S163" s="39"/>
      <c r="T163" s="39">
        <f t="shared" si="24"/>
        <v>0</v>
      </c>
      <c r="V163" s="20"/>
      <c r="W163" s="20"/>
      <c r="X163" s="20"/>
      <c r="Y163" s="20"/>
      <c r="Z163" s="20"/>
      <c r="AA163" s="20"/>
      <c r="AB163" s="20"/>
      <c r="AC163" s="20"/>
      <c r="AD163" s="20"/>
    </row>
    <row r="164" spans="1:30" s="22" customFormat="1">
      <c r="A164" s="20">
        <f>A162+1</f>
        <v>44</v>
      </c>
      <c r="B164" s="20">
        <v>88</v>
      </c>
      <c r="C164" s="80">
        <f>$B$66*(A164-1)/$B$30</f>
        <v>1.1484296150540012E-4</v>
      </c>
      <c r="D164" s="70">
        <f>IF(I164&gt;=0,ASIN(SIN($D$38)*COS(C164)+COS($D$38)*SIN(C164)*COS($C$50)),ASIN(SIN($D$39)*COS(ABS(I164)*SIN($B$71)/SIN($B$72)/$B$30)+COS($D$39)*SIN(ABS(I164)*SIN($B$71)/SIN($B$72)/$B$30)*COS($C$54)))</f>
        <v>0.80023164479234921</v>
      </c>
      <c r="E164" s="70">
        <f>IF(I164&gt;=0,$E$38+ATAN2(COS(C164)-SIN($D$38)*SIN(D164),SIN($C$50)*SIN(C164)*COS($D$38)),$E$39+ATAN2(COS(ABS(I164)*SIN($B$71)/SIN($B$72)/$B$30)-SIN($D$39)*SIN(D164),SIN($C$54)*SIN(ABS(I164)*SIN($B$71)/SIN($B$72)/$B$30)*COS($D$39)))</f>
        <v>0.18791915460893183</v>
      </c>
      <c r="F164" s="14">
        <f t="shared" si="32"/>
        <v>45.849895879413651</v>
      </c>
      <c r="G164" s="14">
        <f t="shared" si="32"/>
        <v>10.766974448758184</v>
      </c>
      <c r="H164" s="39">
        <f t="shared" si="31"/>
        <v>731.87094440075339</v>
      </c>
      <c r="I164" s="39">
        <f>$E$50-H164</f>
        <v>-277.28696391514825</v>
      </c>
      <c r="J164" s="20"/>
      <c r="K164" s="14" t="str">
        <f>IF(ROTTE!C214&lt;&gt;"",LN(TAN(D164/2+PI()/4)/TAN($D$77/2+PI()/4)),"")</f>
        <v/>
      </c>
      <c r="L164" s="14" t="str">
        <f>IF(ROTTE!D214&lt;&gt;"",E164-$E$77,"")</f>
        <v/>
      </c>
      <c r="M164" s="14" t="str">
        <f t="shared" si="25"/>
        <v/>
      </c>
      <c r="N164" s="70" t="str">
        <f t="shared" si="26"/>
        <v/>
      </c>
      <c r="O164" s="39" t="str">
        <f t="shared" si="27"/>
        <v/>
      </c>
      <c r="P164" s="20" t="str">
        <f t="shared" si="30"/>
        <v/>
      </c>
      <c r="Q164" s="39" t="e">
        <f t="shared" si="28"/>
        <v>#N/A</v>
      </c>
      <c r="R164" s="39" t="e">
        <f t="shared" si="29"/>
        <v>#N/A</v>
      </c>
      <c r="S164" s="39"/>
      <c r="T164" s="39">
        <f t="shared" si="24"/>
        <v>0</v>
      </c>
      <c r="V164" s="20"/>
      <c r="W164" s="20"/>
      <c r="X164" s="20"/>
      <c r="Y164" s="20"/>
      <c r="Z164" s="20"/>
      <c r="AA164" s="20"/>
      <c r="AB164" s="20"/>
      <c r="AC164" s="20"/>
      <c r="AD164" s="20"/>
    </row>
    <row r="165" spans="1:30" s="22" customFormat="1">
      <c r="A165" s="20">
        <f>A164</f>
        <v>44</v>
      </c>
      <c r="B165" s="20">
        <v>89</v>
      </c>
      <c r="C165" s="80">
        <f>$B$68*(A165-1)/$B$30</f>
        <v>1.1792135837704185E-4</v>
      </c>
      <c r="D165" s="70">
        <f>IF(I165&gt;=0,ASIN(SIN($D$37)*COS(C165)+COS($D$37)*SIN(C165)*COS($C$58)),ASIN(SIN($D$40)*COS(ABS(I165)*SIN($B$69)/SIN($B$70)/$B$30)+COS($D$40)*SIN(ABS(I165)*SIN($B$69)/SIN($B$70)/$B$30)*COS($C$62)))</f>
        <v>0.8002316370715632</v>
      </c>
      <c r="E165" s="70">
        <f>IF(I165&gt;=0,$E$37+ATAN2(COS(C165)-SIN($D$37)*SIN(D165),SIN($C$58)*SIN(C165)*COS($D$37)),$E$40+ATAN2(COS(ABS(I165)*SIN($B$69)/SIN($B$70)/$B$30)-SIN($D$40)*SIN(D165),SIN($C$62)*SIN(ABS(I165)*SIN($B$69)/SIN($B$70)/$B$30)*COS($D$40)))</f>
        <v>0.18791915237526566</v>
      </c>
      <c r="F165" s="14">
        <f t="shared" si="32"/>
        <v>45.849895437045198</v>
      </c>
      <c r="G165" s="14">
        <f t="shared" si="32"/>
        <v>10.766974320778543</v>
      </c>
      <c r="H165" s="39">
        <f t="shared" si="31"/>
        <v>751.48894446062491</v>
      </c>
      <c r="I165" s="39">
        <f>$E$58-H165</f>
        <v>-303.73382811264059</v>
      </c>
      <c r="J165" s="20"/>
      <c r="K165" s="14" t="str">
        <f>IF(ROTTE!C215&lt;&gt;"",LN(TAN(D165/2+PI()/4)/TAN($D$77/2+PI()/4)),"")</f>
        <v/>
      </c>
      <c r="L165" s="14" t="str">
        <f>IF(ROTTE!D215&lt;&gt;"",E165-$E$77,"")</f>
        <v/>
      </c>
      <c r="M165" s="14" t="str">
        <f t="shared" si="25"/>
        <v/>
      </c>
      <c r="N165" s="70" t="str">
        <f t="shared" si="26"/>
        <v/>
      </c>
      <c r="O165" s="39" t="str">
        <f t="shared" si="27"/>
        <v/>
      </c>
      <c r="P165" s="20" t="str">
        <f t="shared" si="30"/>
        <v/>
      </c>
      <c r="Q165" s="39" t="e">
        <f t="shared" si="28"/>
        <v>#N/A</v>
      </c>
      <c r="R165" s="39" t="e">
        <f t="shared" si="29"/>
        <v>#N/A</v>
      </c>
      <c r="S165" s="39"/>
      <c r="T165" s="39">
        <f t="shared" si="24"/>
        <v>0</v>
      </c>
      <c r="V165" s="20"/>
      <c r="W165" s="20"/>
      <c r="X165" s="20"/>
      <c r="Y165" s="20"/>
      <c r="Z165" s="20"/>
      <c r="AA165" s="20"/>
      <c r="AB165" s="20"/>
      <c r="AC165" s="20"/>
      <c r="AD165" s="20"/>
    </row>
    <row r="166" spans="1:30" s="22" customFormat="1">
      <c r="A166" s="20">
        <f>A164+1</f>
        <v>45</v>
      </c>
      <c r="B166" s="20">
        <v>90</v>
      </c>
      <c r="C166" s="80">
        <f>$B$68*(A166-1)/$B$30</f>
        <v>1.2066371554860097E-4</v>
      </c>
      <c r="D166" s="70">
        <f>IF(I166&gt;=0,ASIN(SIN($D$37)*COS(C166)+COS($D$37)*SIN(C166)*COS($C$58)),ASIN(SIN($D$40)*COS(ABS(I166)*SIN($B$69)/SIN($B$70)/$B$30)+COS($D$40)*SIN(ABS(I166)*SIN($B$69)/SIN($B$70)/$B$30)*COS($C$62)))</f>
        <v>0.80021868558712672</v>
      </c>
      <c r="E166" s="70">
        <f>IF(I166&gt;=0,$E$37+ATAN2(COS(C166)-SIN($D$37)*SIN(D166),SIN($C$58)*SIN(C166)*COS($D$37)),$E$40+ATAN2(COS(ABS(I166)*SIN($B$69)/SIN($B$70)/$B$30)-SIN($D$40)*SIN(D166),SIN($C$62)*SIN(ABS(I166)*SIN($B$69)/SIN($B$70)/$B$30)*COS($D$40)))</f>
        <v>0.1879120955101472</v>
      </c>
      <c r="F166" s="14">
        <f t="shared" si="32"/>
        <v>45.849153371648562</v>
      </c>
      <c r="G166" s="14">
        <f t="shared" si="32"/>
        <v>10.766569992190659</v>
      </c>
      <c r="H166" s="39">
        <f t="shared" si="31"/>
        <v>768.96543154110464</v>
      </c>
      <c r="I166" s="39">
        <f>$E$58-H166</f>
        <v>-321.21031519312032</v>
      </c>
      <c r="J166" s="20"/>
      <c r="K166" s="14" t="str">
        <f>IF(ROTTE!C216&lt;&gt;"",LN(TAN(D166/2+PI()/4)/TAN($D$77/2+PI()/4)),"")</f>
        <v/>
      </c>
      <c r="L166" s="14" t="str">
        <f>IF(ROTTE!D216&lt;&gt;"",E166-$E$77,"")</f>
        <v/>
      </c>
      <c r="M166" s="14" t="str">
        <f t="shared" si="25"/>
        <v/>
      </c>
      <c r="N166" s="70" t="str">
        <f t="shared" si="26"/>
        <v/>
      </c>
      <c r="O166" s="39" t="str">
        <f t="shared" si="27"/>
        <v/>
      </c>
      <c r="P166" s="20" t="str">
        <f t="shared" si="30"/>
        <v/>
      </c>
      <c r="Q166" s="39" t="e">
        <f t="shared" si="28"/>
        <v>#N/A</v>
      </c>
      <c r="R166" s="39" t="e">
        <f t="shared" si="29"/>
        <v>#N/A</v>
      </c>
      <c r="S166" s="39"/>
      <c r="T166" s="39">
        <f t="shared" si="24"/>
        <v>0</v>
      </c>
      <c r="V166" s="20"/>
      <c r="W166" s="20"/>
      <c r="X166" s="20"/>
      <c r="Y166" s="20"/>
      <c r="Z166" s="20"/>
      <c r="AA166" s="20"/>
      <c r="AB166" s="20"/>
      <c r="AC166" s="20"/>
      <c r="AD166" s="20"/>
    </row>
    <row r="167" spans="1:30" s="22" customFormat="1">
      <c r="A167" s="20">
        <f>A166</f>
        <v>45</v>
      </c>
      <c r="B167" s="20">
        <v>91</v>
      </c>
      <c r="C167" s="80">
        <f>$B$66*(A167-1)/$B$30</f>
        <v>1.1751372805203732E-4</v>
      </c>
      <c r="D167" s="70">
        <f>IF(I167&gt;=0,ASIN(SIN($D$38)*COS(C167)+COS($D$38)*SIN(C167)*COS($C$50)),ASIN(SIN($D$39)*COS(ABS(I167)*SIN($B$71)/SIN($B$72)/$B$30)+COS($D$39)*SIN(ABS(I167)*SIN($B$71)/SIN($B$72)/$B$30)*COS($C$54)))</f>
        <v>0.80021869333500373</v>
      </c>
      <c r="E167" s="70">
        <f>IF(I167&gt;=0,$E$38+ATAN2(COS(C167)-SIN($D$38)*SIN(D167),SIN($C$50)*SIN(C167)*COS($D$38)),$E$39+ATAN2(COS(ABS(I167)*SIN($B$71)/SIN($B$72)/$B$30)-SIN($D$39)*SIN(D167),SIN($C$54)*SIN(ABS(I167)*SIN($B$71)/SIN($B$72)/$B$30)*COS($D$39)))</f>
        <v>0.18791209764127897</v>
      </c>
      <c r="F167" s="14">
        <f t="shared" si="32"/>
        <v>45.84915381556921</v>
      </c>
      <c r="G167" s="14">
        <f t="shared" si="32"/>
        <v>10.766570114295517</v>
      </c>
      <c r="H167" s="39">
        <f t="shared" si="31"/>
        <v>748.89119892170106</v>
      </c>
      <c r="I167" s="39">
        <f>$E$50-H167</f>
        <v>-294.30721843609592</v>
      </c>
      <c r="J167" s="20"/>
      <c r="K167" s="14" t="str">
        <f>IF(ROTTE!C217&lt;&gt;"",LN(TAN(D167/2+PI()/4)/TAN($D$77/2+PI()/4)),"")</f>
        <v/>
      </c>
      <c r="L167" s="14" t="str">
        <f>IF(ROTTE!D217&lt;&gt;"",E167-$E$77,"")</f>
        <v/>
      </c>
      <c r="M167" s="14" t="str">
        <f t="shared" si="25"/>
        <v/>
      </c>
      <c r="N167" s="70" t="str">
        <f t="shared" si="26"/>
        <v/>
      </c>
      <c r="O167" s="39" t="str">
        <f t="shared" si="27"/>
        <v/>
      </c>
      <c r="P167" s="20" t="str">
        <f t="shared" si="30"/>
        <v/>
      </c>
      <c r="Q167" s="39" t="e">
        <f t="shared" si="28"/>
        <v>#N/A</v>
      </c>
      <c r="R167" s="39" t="e">
        <f t="shared" si="29"/>
        <v>#N/A</v>
      </c>
      <c r="S167" s="39"/>
      <c r="T167" s="39">
        <f t="shared" si="24"/>
        <v>0</v>
      </c>
      <c r="V167" s="20"/>
      <c r="W167" s="20"/>
      <c r="X167" s="20"/>
      <c r="Y167" s="20"/>
      <c r="Z167" s="20"/>
      <c r="AA167" s="20"/>
      <c r="AB167" s="20"/>
      <c r="AC167" s="20"/>
      <c r="AD167" s="20"/>
    </row>
    <row r="168" spans="1:30" s="22" customFormat="1">
      <c r="A168" s="20">
        <f>A166+1</f>
        <v>46</v>
      </c>
      <c r="B168" s="20">
        <v>92</v>
      </c>
      <c r="C168" s="80">
        <f>$B$66*(A168-1)/$B$30</f>
        <v>1.2018449459867453E-4</v>
      </c>
      <c r="D168" s="70">
        <f>IF(I168&gt;=0,ASIN(SIN($D$38)*COS(C168)+COS($D$38)*SIN(C168)*COS($C$50)),ASIN(SIN($D$39)*COS(ABS(I168)*SIN($B$71)/SIN($B$72)/$B$30)+COS($D$39)*SIN(ABS(I168)*SIN($B$71)/SIN($B$72)/$B$30)*COS($C$54)))</f>
        <v>0.80020574185276949</v>
      </c>
      <c r="E168" s="70">
        <f>IF(I168&gt;=0,$E$38+ATAN2(COS(C168)-SIN($D$38)*SIN(D168),SIN($C$50)*SIN(C168)*COS($D$38)),$E$39+ATAN2(COS(ABS(I168)*SIN($B$71)/SIN($B$72)/$B$30)-SIN($D$39)*SIN(D168),SIN($C$54)*SIN(ABS(I168)*SIN($B$71)/SIN($B$72)/$B$30)*COS($D$39)))</f>
        <v>0.18790504086192003</v>
      </c>
      <c r="F168" s="14">
        <f t="shared" si="32"/>
        <v>45.848411750298752</v>
      </c>
      <c r="G168" s="14">
        <f t="shared" si="32"/>
        <v>10.766165790621294</v>
      </c>
      <c r="H168" s="39">
        <f t="shared" si="31"/>
        <v>765.91145344264885</v>
      </c>
      <c r="I168" s="39">
        <f>$E$50-H168</f>
        <v>-311.32747295704371</v>
      </c>
      <c r="J168" s="20"/>
      <c r="K168" s="14" t="str">
        <f>IF(ROTTE!C218&lt;&gt;"",LN(TAN(D168/2+PI()/4)/TAN($D$77/2+PI()/4)),"")</f>
        <v/>
      </c>
      <c r="L168" s="14" t="str">
        <f>IF(ROTTE!D218&lt;&gt;"",E168-$E$77,"")</f>
        <v/>
      </c>
      <c r="M168" s="14" t="str">
        <f t="shared" si="25"/>
        <v/>
      </c>
      <c r="N168" s="70" t="str">
        <f t="shared" si="26"/>
        <v/>
      </c>
      <c r="O168" s="39" t="str">
        <f t="shared" si="27"/>
        <v/>
      </c>
      <c r="P168" s="20" t="str">
        <f t="shared" si="30"/>
        <v/>
      </c>
      <c r="Q168" s="39" t="e">
        <f t="shared" si="28"/>
        <v>#N/A</v>
      </c>
      <c r="R168" s="39" t="e">
        <f t="shared" si="29"/>
        <v>#N/A</v>
      </c>
      <c r="S168" s="39"/>
      <c r="T168" s="39">
        <f t="shared" si="24"/>
        <v>0</v>
      </c>
      <c r="V168" s="20"/>
      <c r="W168" s="20"/>
      <c r="X168" s="20"/>
      <c r="Y168" s="20"/>
      <c r="Z168" s="20"/>
      <c r="AA168" s="20"/>
      <c r="AB168" s="20"/>
      <c r="AC168" s="20"/>
      <c r="AD168" s="20"/>
    </row>
    <row r="169" spans="1:30" s="22" customFormat="1">
      <c r="A169" s="20">
        <f>A168</f>
        <v>46</v>
      </c>
      <c r="B169" s="20">
        <v>93</v>
      </c>
      <c r="C169" s="80">
        <f>$B$68*(A169-1)/$B$30</f>
        <v>1.2340607272016008E-4</v>
      </c>
      <c r="D169" s="70">
        <f>IF(I169&gt;=0,ASIN(SIN($D$37)*COS(C169)+COS($D$37)*SIN(C169)*COS($C$58)),ASIN(SIN($D$40)*COS(ABS(I169)*SIN($B$69)/SIN($B$70)/$B$30)+COS($D$40)*SIN(ABS(I169)*SIN($B$69)/SIN($B$70)/$B$30)*COS($C$62)))</f>
        <v>0.80020573407780227</v>
      </c>
      <c r="E169" s="70">
        <f>IF(I169&gt;=0,$E$37+ATAN2(COS(C169)-SIN($D$37)*SIN(D169),SIN($C$58)*SIN(C169)*COS($D$37)),$E$40+ATAN2(COS(ABS(I169)*SIN($B$69)/SIN($B$70)/$B$30)-SIN($D$40)*SIN(D169),SIN($C$62)*SIN(ABS(I169)*SIN($B$69)/SIN($B$70)/$B$30)*COS($D$40)))</f>
        <v>0.18790503883332033</v>
      </c>
      <c r="F169" s="14">
        <f t="shared" si="32"/>
        <v>45.848411304825952</v>
      </c>
      <c r="G169" s="14">
        <f t="shared" si="32"/>
        <v>10.766165674391095</v>
      </c>
      <c r="H169" s="39">
        <f t="shared" si="31"/>
        <v>786.44191862158425</v>
      </c>
      <c r="I169" s="39">
        <f>$E$58-H169</f>
        <v>-338.68680227359994</v>
      </c>
      <c r="J169" s="20"/>
      <c r="K169" s="14" t="str">
        <f>IF(ROTTE!C219&lt;&gt;"",LN(TAN(D169/2+PI()/4)/TAN($D$77/2+PI()/4)),"")</f>
        <v/>
      </c>
      <c r="L169" s="14" t="str">
        <f>IF(ROTTE!D219&lt;&gt;"",E169-$E$77,"")</f>
        <v/>
      </c>
      <c r="M169" s="14" t="str">
        <f t="shared" si="25"/>
        <v/>
      </c>
      <c r="N169" s="70" t="str">
        <f t="shared" si="26"/>
        <v/>
      </c>
      <c r="O169" s="39" t="str">
        <f t="shared" si="27"/>
        <v/>
      </c>
      <c r="P169" s="20" t="str">
        <f t="shared" si="30"/>
        <v/>
      </c>
      <c r="Q169" s="39" t="e">
        <f t="shared" si="28"/>
        <v>#N/A</v>
      </c>
      <c r="R169" s="39" t="e">
        <f t="shared" si="29"/>
        <v>#N/A</v>
      </c>
      <c r="S169" s="39"/>
      <c r="T169" s="39">
        <f t="shared" si="24"/>
        <v>0</v>
      </c>
      <c r="V169" s="20"/>
      <c r="W169" s="20"/>
      <c r="X169" s="20"/>
      <c r="Y169" s="20"/>
      <c r="Z169" s="20"/>
      <c r="AA169" s="20"/>
      <c r="AB169" s="20"/>
      <c r="AC169" s="20"/>
      <c r="AD169" s="20"/>
    </row>
    <row r="170" spans="1:30" s="22" customFormat="1">
      <c r="A170" s="20">
        <f>A168+1</f>
        <v>47</v>
      </c>
      <c r="B170" s="20">
        <v>94</v>
      </c>
      <c r="C170" s="80">
        <f>$B$68*(A170-1)/$B$30</f>
        <v>1.261484298917192E-4</v>
      </c>
      <c r="D170" s="70">
        <f>IF(I170&gt;=0,ASIN(SIN($D$37)*COS(C170)+COS($D$37)*SIN(C170)*COS($C$58)),ASIN(SIN($D$40)*COS(ABS(I170)*SIN($B$69)/SIN($B$70)/$B$30)+COS($D$40)*SIN(ABS(I170)*SIN($B$69)/SIN($B$70)/$B$30)*COS($C$62)))</f>
        <v>0.80019278254359083</v>
      </c>
      <c r="E170" s="70">
        <f>IF(I170&gt;=0,$E$37+ATAN2(COS(C170)-SIN($D$37)*SIN(D170),SIN($C$58)*SIN(C170)*COS($D$37)),$E$40+ATAN2(COS(ABS(I170)*SIN($B$69)/SIN($B$70)/$B$30)-SIN($D$40)*SIN(D170),SIN($C$62)*SIN(ABS(I170)*SIN($B$69)/SIN($B$70)/$B$30)*COS($D$40)))</f>
        <v>0.18789798234477542</v>
      </c>
      <c r="F170" s="14">
        <f t="shared" si="32"/>
        <v>45.84766923657741</v>
      </c>
      <c r="G170" s="14">
        <f t="shared" si="32"/>
        <v>10.765761367379287</v>
      </c>
      <c r="H170" s="39">
        <f t="shared" si="31"/>
        <v>803.91840570206398</v>
      </c>
      <c r="I170" s="39">
        <f>$E$58-H170</f>
        <v>-356.16328935407967</v>
      </c>
      <c r="J170" s="20"/>
      <c r="K170" s="14" t="str">
        <f>IF(ROTTE!C220&lt;&gt;"",LN(TAN(D170/2+PI()/4)/TAN($D$77/2+PI()/4)),"")</f>
        <v/>
      </c>
      <c r="L170" s="14" t="str">
        <f>IF(ROTTE!D220&lt;&gt;"",E170-$E$77,"")</f>
        <v/>
      </c>
      <c r="M170" s="14" t="str">
        <f t="shared" si="25"/>
        <v/>
      </c>
      <c r="N170" s="70" t="str">
        <f t="shared" si="26"/>
        <v/>
      </c>
      <c r="O170" s="39" t="str">
        <f t="shared" si="27"/>
        <v/>
      </c>
      <c r="P170" s="20" t="str">
        <f t="shared" si="30"/>
        <v/>
      </c>
      <c r="Q170" s="39" t="e">
        <f t="shared" si="28"/>
        <v>#N/A</v>
      </c>
      <c r="R170" s="39" t="e">
        <f t="shared" si="29"/>
        <v>#N/A</v>
      </c>
      <c r="S170" s="39"/>
      <c r="T170" s="39">
        <f t="shared" si="24"/>
        <v>0</v>
      </c>
      <c r="V170" s="20"/>
      <c r="W170" s="20"/>
      <c r="X170" s="20"/>
      <c r="Y170" s="20"/>
      <c r="Z170" s="20"/>
      <c r="AA170" s="20"/>
      <c r="AB170" s="20"/>
      <c r="AC170" s="20"/>
      <c r="AD170" s="20"/>
    </row>
    <row r="171" spans="1:30" s="22" customFormat="1">
      <c r="A171" s="20">
        <f>A170</f>
        <v>47</v>
      </c>
      <c r="B171" s="20">
        <v>95</v>
      </c>
      <c r="C171" s="80">
        <f>$B$66*(A171-1)/$B$30</f>
        <v>1.2285526114531176E-4</v>
      </c>
      <c r="D171" s="70">
        <f>IF(I171&gt;=0,ASIN(SIN($D$38)*COS(C171)+COS($D$38)*SIN(C171)*COS($C$50)),ASIN(SIN($D$39)*COS(ABS(I171)*SIN($B$71)/SIN($B$72)/$B$30)+COS($D$39)*SIN(ABS(I171)*SIN($B$71)/SIN($B$72)/$B$30)*COS($C$54)))</f>
        <v>0.80019279034564761</v>
      </c>
      <c r="E171" s="70">
        <f>IF(I171&gt;=0,$E$38+ATAN2(COS(C171)-SIN($D$38)*SIN(D171),SIN($C$50)*SIN(C171)*COS($D$38)),$E$39+ATAN2(COS(ABS(I171)*SIN($B$71)/SIN($B$72)/$B$30)-SIN($D$39)*SIN(D171),SIN($C$54)*SIN(ABS(I171)*SIN($B$71)/SIN($B$72)/$B$30)*COS($D$39)))</f>
        <v>0.18789798427084542</v>
      </c>
      <c r="F171" s="14">
        <f t="shared" si="32"/>
        <v>45.847669683602334</v>
      </c>
      <c r="G171" s="14">
        <f t="shared" si="32"/>
        <v>10.765761477734969</v>
      </c>
      <c r="H171" s="39">
        <f t="shared" si="31"/>
        <v>782.93170796359664</v>
      </c>
      <c r="I171" s="39">
        <f>$E$50-H171</f>
        <v>-328.3477274779915</v>
      </c>
      <c r="J171" s="20"/>
      <c r="K171" s="14" t="str">
        <f>IF(ROTTE!C221&lt;&gt;"",LN(TAN(D171/2+PI()/4)/TAN($D$77/2+PI()/4)),"")</f>
        <v/>
      </c>
      <c r="L171" s="14" t="str">
        <f>IF(ROTTE!D221&lt;&gt;"",E171-$E$77,"")</f>
        <v/>
      </c>
      <c r="M171" s="14" t="str">
        <f t="shared" si="25"/>
        <v/>
      </c>
      <c r="N171" s="70" t="str">
        <f t="shared" si="26"/>
        <v/>
      </c>
      <c r="O171" s="39" t="str">
        <f t="shared" si="27"/>
        <v/>
      </c>
      <c r="P171" s="20" t="str">
        <f t="shared" si="30"/>
        <v/>
      </c>
      <c r="Q171" s="39" t="e">
        <f t="shared" si="28"/>
        <v>#N/A</v>
      </c>
      <c r="R171" s="39" t="e">
        <f t="shared" si="29"/>
        <v>#N/A</v>
      </c>
      <c r="S171" s="39"/>
      <c r="T171" s="39">
        <f t="shared" si="24"/>
        <v>0</v>
      </c>
      <c r="V171" s="20"/>
      <c r="W171" s="20"/>
      <c r="X171" s="20"/>
      <c r="Y171" s="20"/>
      <c r="Z171" s="20"/>
      <c r="AA171" s="20"/>
      <c r="AB171" s="20"/>
      <c r="AC171" s="20"/>
      <c r="AD171" s="20"/>
    </row>
    <row r="172" spans="1:30" s="22" customFormat="1">
      <c r="A172" s="20">
        <f>A170+1</f>
        <v>48</v>
      </c>
      <c r="B172" s="20">
        <v>96</v>
      </c>
      <c r="C172" s="80">
        <f>$B$66*(A172-1)/$B$30</f>
        <v>1.2552602769194896E-4</v>
      </c>
      <c r="D172" s="70">
        <f>IF(I172&gt;=0,ASIN(SIN($D$38)*COS(C172)+COS($D$38)*SIN(C172)*COS($C$50)),ASIN(SIN($D$39)*COS(ABS(I172)*SIN($B$71)/SIN($B$72)/$B$30)+COS($D$39)*SIN(ABS(I172)*SIN($B$71)/SIN($B$72)/$B$30)*COS($C$54)))</f>
        <v>0.80017983881363985</v>
      </c>
      <c r="E172" s="70">
        <f>IF(I172&gt;=0,$E$38+ATAN2(COS(C172)-SIN($D$38)*SIN(D172),SIN($C$50)*SIN(C172)*COS($D$38)),$E$39+ATAN2(COS(ABS(I172)*SIN($B$71)/SIN($B$72)/$B$30)-SIN($D$39)*SIN(D172),SIN($C$54)*SIN(ABS(I172)*SIN($B$71)/SIN($B$72)/$B$30)*COS($D$39)))</f>
        <v>0.18789092786804562</v>
      </c>
      <c r="F172" s="14">
        <f t="shared" si="32"/>
        <v>45.846927615480055</v>
      </c>
      <c r="G172" s="14">
        <f t="shared" si="32"/>
        <v>10.765357175635996</v>
      </c>
      <c r="H172" s="39">
        <f t="shared" si="31"/>
        <v>799.95196248454442</v>
      </c>
      <c r="I172" s="39">
        <f>$E$50-H172</f>
        <v>-345.36798199893929</v>
      </c>
      <c r="J172" s="20"/>
      <c r="K172" s="14" t="str">
        <f>IF(ROTTE!C222&lt;&gt;"",LN(TAN(D172/2+PI()/4)/TAN($D$77/2+PI()/4)),"")</f>
        <v/>
      </c>
      <c r="L172" s="14" t="str">
        <f>IF(ROTTE!D222&lt;&gt;"",E172-$E$77,"")</f>
        <v/>
      </c>
      <c r="M172" s="14" t="str">
        <f t="shared" si="25"/>
        <v/>
      </c>
      <c r="N172" s="70" t="str">
        <f t="shared" si="26"/>
        <v/>
      </c>
      <c r="O172" s="39" t="str">
        <f t="shared" si="27"/>
        <v/>
      </c>
      <c r="P172" s="20" t="str">
        <f t="shared" si="30"/>
        <v/>
      </c>
      <c r="Q172" s="39" t="e">
        <f t="shared" si="28"/>
        <v>#N/A</v>
      </c>
      <c r="R172" s="39" t="e">
        <f t="shared" si="29"/>
        <v>#N/A</v>
      </c>
      <c r="S172" s="39"/>
      <c r="T172" s="39">
        <f t="shared" si="24"/>
        <v>0</v>
      </c>
      <c r="V172" s="20"/>
      <c r="W172" s="20"/>
      <c r="X172" s="20"/>
      <c r="Y172" s="20"/>
      <c r="Z172" s="20"/>
      <c r="AA172" s="20"/>
      <c r="AB172" s="20"/>
      <c r="AC172" s="20"/>
      <c r="AD172" s="20"/>
    </row>
    <row r="173" spans="1:30" s="22" customFormat="1">
      <c r="A173" s="20">
        <f>A172</f>
        <v>48</v>
      </c>
      <c r="B173" s="20">
        <v>97</v>
      </c>
      <c r="C173" s="80">
        <f>$B$68*(A173-1)/$B$30</f>
        <v>1.2889078706327832E-4</v>
      </c>
      <c r="D173" s="70">
        <f>IF(I173&gt;=0,ASIN(SIN($D$37)*COS(C173)+COS($D$37)*SIN(C173)*COS($C$58)),ASIN(SIN($D$40)*COS(ABS(I173)*SIN($B$69)/SIN($B$70)/$B$30)+COS($D$40)*SIN(ABS(I173)*SIN($B$69)/SIN($B$70)/$B$30)*COS($C$62)))</f>
        <v>0.80017983098449397</v>
      </c>
      <c r="E173" s="70">
        <f>IF(I173&gt;=0,$E$37+ATAN2(COS(C173)-SIN($D$37)*SIN(D173),SIN($C$58)*SIN(C173)*COS($D$37)),$E$40+ATAN2(COS(ABS(I173)*SIN($B$69)/SIN($B$70)/$B$30)-SIN($D$40)*SIN(D173),SIN($C$62)*SIN(ABS(I173)*SIN($B$69)/SIN($B$70)/$B$30)*COS($D$40)))</f>
        <v>0.187890926044503</v>
      </c>
      <c r="F173" s="14">
        <f t="shared" si="32"/>
        <v>45.84692716690305</v>
      </c>
      <c r="G173" s="14">
        <f t="shared" si="32"/>
        <v>10.7653570711547</v>
      </c>
      <c r="H173" s="39">
        <f t="shared" si="31"/>
        <v>821.39489278254359</v>
      </c>
      <c r="I173" s="39">
        <f>$E$58-H173</f>
        <v>-373.63977643455928</v>
      </c>
      <c r="J173" s="20"/>
      <c r="K173" s="14" t="str">
        <f>IF(ROTTE!C223&lt;&gt;"",LN(TAN(D173/2+PI()/4)/TAN($D$77/2+PI()/4)),"")</f>
        <v/>
      </c>
      <c r="L173" s="14" t="str">
        <f>IF(ROTTE!D223&lt;&gt;"",E173-$E$77,"")</f>
        <v/>
      </c>
      <c r="M173" s="14" t="str">
        <f t="shared" si="25"/>
        <v/>
      </c>
      <c r="N173" s="70" t="str">
        <f t="shared" si="26"/>
        <v/>
      </c>
      <c r="O173" s="39" t="str">
        <f t="shared" si="27"/>
        <v/>
      </c>
      <c r="P173" s="20" t="str">
        <f t="shared" si="30"/>
        <v/>
      </c>
      <c r="Q173" s="39" t="e">
        <f t="shared" si="28"/>
        <v>#N/A</v>
      </c>
      <c r="R173" s="39" t="e">
        <f t="shared" si="29"/>
        <v>#N/A</v>
      </c>
      <c r="S173" s="39"/>
      <c r="T173" s="39">
        <f t="shared" si="24"/>
        <v>0</v>
      </c>
      <c r="V173" s="20"/>
      <c r="W173" s="20"/>
      <c r="X173" s="20"/>
      <c r="Y173" s="20"/>
      <c r="Z173" s="20"/>
      <c r="AA173" s="20"/>
      <c r="AB173" s="20"/>
      <c r="AC173" s="20"/>
      <c r="AD173" s="20"/>
    </row>
    <row r="174" spans="1:30" s="22" customFormat="1">
      <c r="A174" s="20">
        <f>A172+1</f>
        <v>49</v>
      </c>
      <c r="B174" s="20">
        <v>98</v>
      </c>
      <c r="C174" s="80">
        <f>$B$68*(A174-1)/$B$30</f>
        <v>1.3163314423483743E-4</v>
      </c>
      <c r="D174" s="70">
        <f>IF(I174&gt;=0,ASIN(SIN($D$37)*COS(C174)+COS($D$37)*SIN(C174)*COS($C$58)),ASIN(SIN($D$40)*COS(ABS(I174)*SIN($B$69)/SIN($B$70)/$B$30)+COS($D$40)*SIN(ABS(I174)*SIN($B$69)/SIN($B$70)/$B$30)*COS($C$62)))</f>
        <v>0.80016687940051301</v>
      </c>
      <c r="E174" s="70">
        <f>IF(I174&gt;=0,$E$37+ATAN2(COS(C174)-SIN($D$37)*SIN(D174),SIN($C$58)*SIN(C174)*COS($D$37)),$E$40+ATAN2(COS(ABS(I174)*SIN($B$69)/SIN($B$70)/$B$30)-SIN($D$40)*SIN(D174),SIN($C$62)*SIN(ABS(I174)*SIN($B$69)/SIN($B$70)/$B$30)*COS($D$40)))</f>
        <v>0.18788386993249348</v>
      </c>
      <c r="F174" s="14">
        <f t="shared" si="32"/>
        <v>45.84618509580293</v>
      </c>
      <c r="G174" s="14">
        <f t="shared" si="32"/>
        <v>10.764952785716783</v>
      </c>
      <c r="H174" s="39">
        <f t="shared" si="31"/>
        <v>838.87137986302321</v>
      </c>
      <c r="I174" s="39">
        <f>$E$58-H174</f>
        <v>-391.1162635150389</v>
      </c>
      <c r="J174" s="20"/>
      <c r="K174" s="14" t="str">
        <f>IF(ROTTE!C224&lt;&gt;"",LN(TAN(D174/2+PI()/4)/TAN($D$77/2+PI()/4)),"")</f>
        <v/>
      </c>
      <c r="L174" s="14" t="str">
        <f>IF(ROTTE!D224&lt;&gt;"",E174-$E$77,"")</f>
        <v/>
      </c>
      <c r="M174" s="14" t="str">
        <f t="shared" si="25"/>
        <v/>
      </c>
      <c r="N174" s="70" t="str">
        <f t="shared" si="26"/>
        <v/>
      </c>
      <c r="O174" s="39" t="str">
        <f t="shared" si="27"/>
        <v/>
      </c>
      <c r="P174" s="20" t="str">
        <f t="shared" si="30"/>
        <v/>
      </c>
      <c r="Q174" s="39" t="e">
        <f t="shared" si="28"/>
        <v>#N/A</v>
      </c>
      <c r="R174" s="39" t="e">
        <f t="shared" si="29"/>
        <v>#N/A</v>
      </c>
      <c r="S174" s="39"/>
      <c r="T174" s="39">
        <f t="shared" si="24"/>
        <v>0</v>
      </c>
      <c r="V174" s="20"/>
      <c r="W174" s="20"/>
      <c r="X174" s="20"/>
      <c r="Y174" s="20"/>
      <c r="Z174" s="20"/>
      <c r="AA174" s="20"/>
      <c r="AB174" s="20"/>
      <c r="AC174" s="20"/>
      <c r="AD174" s="20"/>
    </row>
    <row r="175" spans="1:30" s="22" customFormat="1">
      <c r="A175" s="20">
        <f>A174</f>
        <v>49</v>
      </c>
      <c r="B175" s="20">
        <v>99</v>
      </c>
      <c r="C175" s="80">
        <f>$B$66*(A175-1)/$B$30</f>
        <v>1.2819679423858616E-4</v>
      </c>
      <c r="D175" s="70">
        <f>IF(I175&gt;=0,ASIN(SIN($D$38)*COS(C175)+COS($D$38)*SIN(C175)*COS($C$50)),ASIN(SIN($D$39)*COS(ABS(I175)*SIN($B$71)/SIN($B$72)/$B$30)+COS($D$39)*SIN(ABS(I175)*SIN($B$71)/SIN($B$72)/$B$30)*COS($C$54)))</f>
        <v>0.80016688725674678</v>
      </c>
      <c r="E175" s="70">
        <f>IF(I175&gt;=0,$E$38+ATAN2(COS(C175)-SIN($D$38)*SIN(D175),SIN($C$50)*SIN(C175)*COS($D$38)),$E$39+ATAN2(COS(ABS(I175)*SIN($B$71)/SIN($B$72)/$B$30)-SIN($D$39)*SIN(D175),SIN($C$54)*SIN(ABS(I175)*SIN($B$71)/SIN($B$72)/$B$30)*COS($D$39)))</f>
        <v>0.18788387165351106</v>
      </c>
      <c r="F175" s="14">
        <f t="shared" si="32"/>
        <v>45.846185545931959</v>
      </c>
      <c r="G175" s="14">
        <f t="shared" si="32"/>
        <v>10.764952884323829</v>
      </c>
      <c r="H175" s="39">
        <f t="shared" si="31"/>
        <v>816.9722170054921</v>
      </c>
      <c r="I175" s="39">
        <f>$E$50-H175</f>
        <v>-362.38823651988696</v>
      </c>
      <c r="J175" s="20"/>
      <c r="K175" s="14" t="str">
        <f>IF(ROTTE!C225&lt;&gt;"",LN(TAN(D175/2+PI()/4)/TAN($D$77/2+PI()/4)),"")</f>
        <v/>
      </c>
      <c r="L175" s="14" t="str">
        <f>IF(ROTTE!D225&lt;&gt;"",E175-$E$77,"")</f>
        <v/>
      </c>
      <c r="M175" s="14" t="str">
        <f t="shared" si="25"/>
        <v/>
      </c>
      <c r="N175" s="70" t="str">
        <f t="shared" si="26"/>
        <v/>
      </c>
      <c r="O175" s="39" t="str">
        <f t="shared" si="27"/>
        <v/>
      </c>
      <c r="P175" s="20" t="str">
        <f t="shared" si="30"/>
        <v/>
      </c>
      <c r="Q175" s="39" t="e">
        <f t="shared" si="28"/>
        <v>#N/A</v>
      </c>
      <c r="R175" s="39" t="e">
        <f t="shared" si="29"/>
        <v>#N/A</v>
      </c>
      <c r="S175" s="39"/>
      <c r="T175" s="39">
        <f t="shared" si="24"/>
        <v>0</v>
      </c>
      <c r="V175" s="20"/>
      <c r="W175" s="20"/>
      <c r="X175" s="20"/>
      <c r="Y175" s="20"/>
      <c r="Z175" s="20"/>
      <c r="AA175" s="20"/>
      <c r="AB175" s="20"/>
      <c r="AC175" s="20"/>
      <c r="AD175" s="20"/>
    </row>
    <row r="176" spans="1:30" s="22" customFormat="1">
      <c r="A176" s="20"/>
      <c r="B176" s="20"/>
      <c r="C176" s="20"/>
      <c r="D176" s="21"/>
      <c r="E176" s="21"/>
      <c r="F176" s="20"/>
      <c r="G176" s="20"/>
      <c r="H176" s="20"/>
      <c r="I176" s="20"/>
      <c r="J176" s="20"/>
      <c r="K176" s="20"/>
      <c r="L176" s="20"/>
      <c r="M176" s="20"/>
      <c r="N176" s="20"/>
      <c r="O176" s="20"/>
      <c r="P176" s="20"/>
      <c r="Q176" s="20"/>
      <c r="R176" s="20"/>
      <c r="S176" s="20"/>
      <c r="T176" s="20"/>
      <c r="V176" s="20"/>
      <c r="W176" s="20"/>
      <c r="X176" s="20"/>
      <c r="Y176" s="20"/>
      <c r="Z176" s="20"/>
      <c r="AA176" s="20"/>
      <c r="AB176" s="20"/>
      <c r="AC176" s="20"/>
      <c r="AD176" s="20"/>
    </row>
    <row r="179" spans="4:8">
      <c r="E179" s="20"/>
    </row>
    <row r="180" spans="4:8">
      <c r="D180" s="20"/>
      <c r="E180" s="20"/>
      <c r="G180" s="59"/>
      <c r="H180" s="59"/>
    </row>
  </sheetData>
  <sheetProtection algorithmName="SHA-512" hashValue="TrSR9HYu5s0aGnZlEnicGfchjKvpTwjWm7UZlH1mldsAORscQLAMoLUuw0dUQdE4K5SU4ZVkXdSgdmNETcas8Q==" saltValue="HiodF9gu3Tj9n1GptZ3VZg==" spinCount="100000" sheet="1" objects="1" scenarios="1"/>
  <mergeCells count="18">
    <mergeCell ref="A26:D26"/>
    <mergeCell ref="K74:R74"/>
    <mergeCell ref="C15:G15"/>
    <mergeCell ref="H15:L15"/>
    <mergeCell ref="M15:R15"/>
    <mergeCell ref="S15:W15"/>
    <mergeCell ref="C16:G16"/>
    <mergeCell ref="H16:L16"/>
    <mergeCell ref="M16:R16"/>
    <mergeCell ref="S16:W16"/>
    <mergeCell ref="C6:G6"/>
    <mergeCell ref="H6:L6"/>
    <mergeCell ref="M6:R6"/>
    <mergeCell ref="S6:W6"/>
    <mergeCell ref="C7:G7"/>
    <mergeCell ref="H7:L7"/>
    <mergeCell ref="M7:R7"/>
    <mergeCell ref="S7:W7"/>
  </mergeCells>
  <printOptions horizontalCentered="1" verticalCentered="1"/>
  <pageMargins left="0.19685039370078741" right="0.11811023622047245" top="0.15748031496062992" bottom="0.74803149606299213" header="0" footer="0"/>
  <pageSetup paperSize="9" scale="15" orientation="landscape"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3"/>
  <dimension ref="A1:R226"/>
  <sheetViews>
    <sheetView workbookViewId="0">
      <selection activeCell="A12" sqref="A12"/>
    </sheetView>
  </sheetViews>
  <sheetFormatPr defaultColWidth="9.140625" defaultRowHeight="15"/>
  <cols>
    <col min="1" max="1" width="46" style="20" bestFit="1" customWidth="1"/>
    <col min="2" max="2" width="11.7109375" style="20" customWidth="1"/>
    <col min="3" max="4" width="13.28515625" style="20" customWidth="1"/>
    <col min="5" max="5" width="15.7109375" customWidth="1"/>
    <col min="6" max="6" width="13.28515625" customWidth="1"/>
    <col min="7" max="7" width="13.42578125" style="20" customWidth="1"/>
    <col min="8" max="8" width="11.28515625" style="20" bestFit="1" customWidth="1"/>
    <col min="9" max="9" width="22.5703125" style="20" bestFit="1" customWidth="1"/>
    <col min="10" max="10" width="11.28515625" style="20" bestFit="1" customWidth="1"/>
    <col min="11" max="12" width="9.140625" style="20"/>
    <col min="13" max="13" width="12.7109375" style="20" bestFit="1" customWidth="1"/>
    <col min="14" max="14" width="9.140625" style="20"/>
    <col min="15" max="15" width="15.7109375" style="20" customWidth="1"/>
    <col min="16" max="16" width="10.140625" style="20" customWidth="1"/>
    <col min="17" max="16384" width="9.140625" style="20"/>
  </cols>
  <sheetData>
    <row r="1" spans="1:10">
      <c r="A1" s="20" t="s">
        <v>299</v>
      </c>
      <c r="B1" s="20">
        <f>MATCH("",C29:C127,0)</f>
        <v>28</v>
      </c>
      <c r="E1" s="110" t="s">
        <v>293</v>
      </c>
      <c r="F1" s="110"/>
    </row>
    <row r="2" spans="1:10">
      <c r="A2" s="20" t="s">
        <v>295</v>
      </c>
      <c r="B2" s="20">
        <f>'CALCOLO ROTTA 1'!B65</f>
        <v>1</v>
      </c>
      <c r="E2" s="82" t="s">
        <v>151</v>
      </c>
      <c r="F2" s="82" t="s">
        <v>152</v>
      </c>
    </row>
    <row r="3" spans="1:10">
      <c r="A3" s="20" t="s">
        <v>298</v>
      </c>
      <c r="B3" s="20">
        <f>INDEX(C15:G22,B2,J9)</f>
        <v>4</v>
      </c>
      <c r="E3" s="83">
        <f>VLOOKUP(B1-1,B29:F127,4)</f>
        <v>183.13141372185348</v>
      </c>
      <c r="F3" s="83">
        <f>VLOOKUP(B1-1,B29:F127,5)</f>
        <v>255.19409634913507</v>
      </c>
    </row>
    <row r="4" spans="1:10">
      <c r="A4" s="20" t="s">
        <v>300</v>
      </c>
      <c r="B4" s="1" t="b">
        <v>1</v>
      </c>
      <c r="E4" s="20"/>
      <c r="F4" s="20"/>
    </row>
    <row r="5" spans="1:10">
      <c r="D5" s="110" t="s">
        <v>294</v>
      </c>
      <c r="E5" s="110"/>
      <c r="F5" s="110"/>
    </row>
    <row r="6" spans="1:10">
      <c r="D6" s="82" t="s">
        <v>99</v>
      </c>
      <c r="E6" s="82" t="s">
        <v>151</v>
      </c>
      <c r="F6" s="82" t="s">
        <v>152</v>
      </c>
      <c r="G6" s="82" t="s">
        <v>218</v>
      </c>
    </row>
    <row r="7" spans="1:10">
      <c r="D7" s="82">
        <v>2</v>
      </c>
      <c r="E7" s="83">
        <f>'CALCOLO ROTTA 1'!Q243</f>
        <v>26.59196087443507</v>
      </c>
      <c r="F7" s="83">
        <f>'CALCOLO ROTTA 1'!R243</f>
        <v>108.8608398244336</v>
      </c>
      <c r="G7" s="83">
        <f>SQRT((E7-$E$3)^2+(F7-$F$3)^2)</f>
        <v>214.28490908809519</v>
      </c>
      <c r="H7" s="84">
        <f>IF(OR($B$2=1,$B$2=7),G9,IF(OR($B$2=2,$B$2=6),G10,IF(OR($B$2=3,$B$2=5),G7,IF(OR($B$2=4,$B$2=8),G8))))</f>
        <v>390.60051830423254</v>
      </c>
      <c r="I7" s="20" t="s">
        <v>296</v>
      </c>
      <c r="J7" s="55">
        <f>IF(OR($B$2=1,$B$2=7),D9,IF(OR($B$2=2,$B$2=6),D10,IF(OR($B$2=3,$B$2=5),D7,IF(OR($B$2=4,$B$2=8),D8))))</f>
        <v>4</v>
      </c>
    </row>
    <row r="8" spans="1:10">
      <c r="D8" s="82">
        <v>3</v>
      </c>
      <c r="E8" s="83">
        <f>'CALCOLO ROTTA 1'!Q244</f>
        <v>423.81693996397269</v>
      </c>
      <c r="F8" s="83">
        <f>'CALCOLO ROTTA 1'!R244</f>
        <v>-112.1868370536539</v>
      </c>
      <c r="G8" s="83">
        <f>SQRT((E8-$E$3)^2+(F8-$F$3)^2)</f>
        <v>439.20185879655645</v>
      </c>
      <c r="H8" s="84">
        <f>IF(OR($B$2=1,$B$2=7),G10,IF(OR($B$2=2,$B$2=6),G7,IF(OR($B$2=3,$B$2=5),G8,IF(OR($B$2=4,$B$2=8),G9))))</f>
        <v>57.162476322907061</v>
      </c>
      <c r="I8" s="20" t="s">
        <v>296</v>
      </c>
      <c r="J8" s="55">
        <f>IF(OR($B$2=1,$B$2=7),D10,IF(OR($B$2=2,$B$2=6),D7,IF(OR($B$2=3,$B$2=5),D8,IF(OR($B$2=4,$B$2=8),D9))))</f>
        <v>5</v>
      </c>
    </row>
    <row r="9" spans="1:10">
      <c r="D9" s="82">
        <v>4</v>
      </c>
      <c r="E9" s="83">
        <f>'CALCOLO ROTTA 1'!Q245</f>
        <v>457.88516858706345</v>
      </c>
      <c r="F9" s="83">
        <f>'CALCOLO ROTTA 1'!R245</f>
        <v>-22.437204276358475</v>
      </c>
      <c r="G9" s="83">
        <f>SQRT((E9-$E$3)^2+(F9-$F$3)^2)</f>
        <v>390.60051830423254</v>
      </c>
      <c r="I9" s="20" t="s">
        <v>297</v>
      </c>
      <c r="J9" s="55">
        <f>VLOOKUP(MIN(H7:H8),H7:J8,3,FALSE)</f>
        <v>5</v>
      </c>
    </row>
    <row r="10" spans="1:10">
      <c r="D10" s="82">
        <v>5</v>
      </c>
      <c r="E10" s="83">
        <f>'CALCOLO ROTTA 1'!Q246</f>
        <v>142.92962606866806</v>
      </c>
      <c r="F10" s="83">
        <f>'CALCOLO ROTTA 1'!R246</f>
        <v>295.83108650410469</v>
      </c>
      <c r="G10" s="83">
        <f>SQRT((E10-$E$3)^2+(F10-$F$3)^2)</f>
        <v>57.162476322907061</v>
      </c>
    </row>
    <row r="11" spans="1:10">
      <c r="D11" s="82">
        <v>2</v>
      </c>
      <c r="E11" s="83">
        <f>E7</f>
        <v>26.59196087443507</v>
      </c>
      <c r="F11" s="83">
        <f>F7</f>
        <v>108.8608398244336</v>
      </c>
      <c r="G11" s="83"/>
    </row>
    <row r="12" spans="1:10">
      <c r="D12"/>
      <c r="E12" s="20"/>
    </row>
    <row r="13" spans="1:10">
      <c r="D13" s="110" t="s">
        <v>297</v>
      </c>
      <c r="E13" s="110"/>
      <c r="F13" s="110"/>
      <c r="G13" s="110"/>
    </row>
    <row r="14" spans="1:10">
      <c r="C14" s="85"/>
      <c r="D14" s="86">
        <v>2</v>
      </c>
      <c r="E14" s="82">
        <v>3</v>
      </c>
      <c r="F14" s="82">
        <v>4</v>
      </c>
      <c r="G14" s="82">
        <v>5</v>
      </c>
    </row>
    <row r="15" spans="1:10" ht="14.45" customHeight="1">
      <c r="B15" s="111" t="s">
        <v>295</v>
      </c>
      <c r="C15" s="87">
        <v>1</v>
      </c>
      <c r="D15" s="82"/>
      <c r="E15" s="82"/>
      <c r="F15" s="82">
        <v>6</v>
      </c>
      <c r="G15" s="82">
        <v>4</v>
      </c>
    </row>
    <row r="16" spans="1:10">
      <c r="B16" s="111"/>
      <c r="C16" s="82">
        <v>2</v>
      </c>
      <c r="D16" s="82">
        <v>1</v>
      </c>
      <c r="E16" s="82"/>
      <c r="F16" s="82"/>
      <c r="G16" s="82">
        <v>5</v>
      </c>
    </row>
    <row r="17" spans="1:18">
      <c r="B17" s="111"/>
      <c r="C17" s="82">
        <v>3</v>
      </c>
      <c r="D17" s="82">
        <v>8</v>
      </c>
      <c r="E17" s="82">
        <v>2</v>
      </c>
      <c r="F17" s="82"/>
      <c r="G17" s="82"/>
    </row>
    <row r="18" spans="1:18">
      <c r="B18" s="111"/>
      <c r="C18" s="82">
        <v>4</v>
      </c>
      <c r="D18" s="82"/>
      <c r="E18" s="82">
        <v>7</v>
      </c>
      <c r="F18" s="82">
        <v>3</v>
      </c>
      <c r="G18" s="82"/>
    </row>
    <row r="19" spans="1:18">
      <c r="B19" s="111"/>
      <c r="C19" s="82">
        <v>5</v>
      </c>
      <c r="D19" s="82">
        <v>8</v>
      </c>
      <c r="E19" s="82">
        <v>2</v>
      </c>
      <c r="F19" s="82"/>
      <c r="G19" s="82"/>
    </row>
    <row r="20" spans="1:18">
      <c r="B20" s="111"/>
      <c r="C20" s="82">
        <v>6</v>
      </c>
      <c r="D20" s="82">
        <v>1</v>
      </c>
      <c r="E20" s="82"/>
      <c r="F20" s="82"/>
      <c r="G20" s="82">
        <v>5</v>
      </c>
    </row>
    <row r="21" spans="1:18">
      <c r="B21" s="111"/>
      <c r="C21" s="82">
        <v>7</v>
      </c>
      <c r="D21" s="82"/>
      <c r="E21" s="82"/>
      <c r="F21" s="82">
        <v>6</v>
      </c>
      <c r="G21" s="82">
        <v>4</v>
      </c>
    </row>
    <row r="22" spans="1:18">
      <c r="B22" s="111"/>
      <c r="C22" s="82">
        <v>8</v>
      </c>
      <c r="D22" s="82"/>
      <c r="E22" s="82">
        <v>7</v>
      </c>
      <c r="F22" s="82">
        <v>3</v>
      </c>
      <c r="G22" s="82"/>
    </row>
    <row r="27" spans="1:18">
      <c r="B27" s="20" t="s">
        <v>292</v>
      </c>
      <c r="C27" s="82" t="s">
        <v>0</v>
      </c>
      <c r="D27" s="82" t="s">
        <v>1</v>
      </c>
      <c r="E27" s="82" t="s">
        <v>151</v>
      </c>
      <c r="F27" s="82" t="s">
        <v>152</v>
      </c>
      <c r="H27" s="20" t="s">
        <v>292</v>
      </c>
      <c r="I27" s="20" t="s">
        <v>290</v>
      </c>
      <c r="J27" s="20" t="s">
        <v>291</v>
      </c>
      <c r="K27" s="20" t="s">
        <v>151</v>
      </c>
      <c r="L27" s="20" t="s">
        <v>152</v>
      </c>
      <c r="N27" s="20" t="s">
        <v>263</v>
      </c>
      <c r="O27" s="22" t="s">
        <v>264</v>
      </c>
      <c r="P27" s="39">
        <f>SUM(N30:N127)</f>
        <v>9489.6162488511545</v>
      </c>
      <c r="Q27" s="55" t="s">
        <v>47</v>
      </c>
      <c r="R27" s="55" t="s">
        <v>272</v>
      </c>
    </row>
    <row r="28" spans="1:18">
      <c r="A28" s="22" t="s">
        <v>288</v>
      </c>
      <c r="C28" s="82" t="s">
        <v>57</v>
      </c>
      <c r="D28" s="82" t="s">
        <v>57</v>
      </c>
      <c r="E28" s="82" t="s">
        <v>47</v>
      </c>
      <c r="F28" s="82" t="s">
        <v>47</v>
      </c>
      <c r="I28" s="20" t="s">
        <v>57</v>
      </c>
      <c r="J28" s="20" t="s">
        <v>57</v>
      </c>
      <c r="K28" s="20" t="s">
        <v>47</v>
      </c>
      <c r="L28" s="20" t="s">
        <v>47</v>
      </c>
      <c r="N28" s="20" t="s">
        <v>47</v>
      </c>
      <c r="O28" s="22" t="s">
        <v>273</v>
      </c>
      <c r="P28" s="41">
        <f>P27-N30</f>
        <v>9377.55459247205</v>
      </c>
      <c r="Q28" t="s">
        <v>47</v>
      </c>
      <c r="R28" t="s">
        <v>274</v>
      </c>
    </row>
    <row r="29" spans="1:18">
      <c r="B29" s="20">
        <v>1</v>
      </c>
      <c r="C29" s="88">
        <f>'CALCOLO ROTTA 1'!F140</f>
        <v>45.862993712329398</v>
      </c>
      <c r="D29" s="88">
        <f>'CALCOLO ROTTA 1'!G140</f>
        <v>10.768091512662901</v>
      </c>
      <c r="E29" s="83">
        <f>IFERROR('CALCOLO ROTTA 1'!Q140,NA())</f>
        <v>0</v>
      </c>
      <c r="F29" s="83">
        <f>IFERROR('CALCOLO ROTTA 1'!R140,NA())</f>
        <v>0</v>
      </c>
      <c r="H29" s="20">
        <v>1</v>
      </c>
      <c r="I29" s="14">
        <f>IF(AND($H29&gt;=$B$1,$B$4=FALSE),"",IFERROR(VLOOKUP($H29,$B$29:$D$225,2,FALSE),""))</f>
        <v>45.862993712329398</v>
      </c>
      <c r="J29" s="14">
        <f>IF(AND($H29&gt;=$B$1,$B$4=FALSE),"",IFERROR(VLOOKUP($H29,$B$29:$D$225,3,FALSE),""))</f>
        <v>10.768091512662901</v>
      </c>
      <c r="K29" s="20">
        <f>IF(AND($H29&gt;=$B$1,$B$4=FALSE),NA(),IFERROR(VLOOKUP(H29,$B$29:$F$225,4,FALSE),NA()))</f>
        <v>0</v>
      </c>
      <c r="L29" s="20">
        <f>IF(AND($H29&gt;=$B$1,$B$4=FALSE),NA(),IFERROR(VLOOKUP(H29,$B$29:$F$225,5,FALSE),NA()))</f>
        <v>0</v>
      </c>
      <c r="O29" s="22" t="s">
        <v>276</v>
      </c>
      <c r="P29" s="21">
        <f>COUNTIF(N30:N127,"&lt;&gt;0")-1</f>
        <v>79</v>
      </c>
      <c r="R29" t="s">
        <v>275</v>
      </c>
    </row>
    <row r="30" spans="1:18">
      <c r="B30" s="20">
        <f>IF(C30="","",B29+1)</f>
        <v>2</v>
      </c>
      <c r="C30" s="88">
        <f>'CALCOLO ROTTA 1'!F141</f>
        <v>45.86397244519911</v>
      </c>
      <c r="D30" s="88">
        <f>'CALCOLO ROTTA 1'!G141</f>
        <v>10.7684348354168</v>
      </c>
      <c r="E30" s="83">
        <f>IFERROR('CALCOLO ROTTA 1'!Q141,NA())</f>
        <v>26.59196087443507</v>
      </c>
      <c r="F30" s="83">
        <f>IFERROR('CALCOLO ROTTA 1'!R141,NA())</f>
        <v>108.8608398244336</v>
      </c>
      <c r="H30" s="20">
        <v>2</v>
      </c>
      <c r="I30" s="14">
        <f t="shared" ref="I30:I93" si="0">IF(AND($H30&gt;=$B$1,$B$4=FALSE),"",IFERROR(VLOOKUP($H30,$B$29:$D$225,2,FALSE),""))</f>
        <v>45.86397244519911</v>
      </c>
      <c r="J30" s="14">
        <f t="shared" ref="J30:J93" si="1">IF(AND($H30&gt;=$B$1,$B$4=FALSE),"",IFERROR(VLOOKUP($H30,$B$29:$D$225,3,FALSE),""))</f>
        <v>10.7684348354168</v>
      </c>
      <c r="K30" s="20">
        <f t="shared" ref="K30:K93" si="2">IF(AND($H30&gt;=$B$1,$B$4=FALSE),NA(),IFERROR(VLOOKUP(H30,$B$29:$F$225,4,FALSE),NA()))</f>
        <v>26.59196087443507</v>
      </c>
      <c r="L30" s="20">
        <f t="shared" ref="L30:L93" si="3">IF(AND($H30&gt;=$B$1,$B$4=FALSE),NA(),IFERROR(VLOOKUP(H30,$B$29:$F$225,5,FALSE),NA()))</f>
        <v>108.8608398244336</v>
      </c>
      <c r="N30" s="39">
        <f t="shared" ref="N30:N93" si="4">IF(_xlfn.IFNA(K30,0)=0,0,SQRT((K30-K29)^2+(L30-L29)^2))</f>
        <v>112.06165637910442</v>
      </c>
      <c r="O30" s="22" t="s">
        <v>278</v>
      </c>
      <c r="P30" s="30">
        <f>(P28/'DATI CAMERA E ROTTA'!B36+P29*'DATI CAMERA E ROTTA'!B67)/60</f>
        <v>44.425181974906835</v>
      </c>
      <c r="Q30" t="s">
        <v>267</v>
      </c>
      <c r="R30" t="s">
        <v>277</v>
      </c>
    </row>
    <row r="31" spans="1:18">
      <c r="B31" s="20">
        <f t="shared" ref="B31:B94" si="5">IF(C31="","",B30+1)</f>
        <v>3</v>
      </c>
      <c r="C31" s="88">
        <f>'CALCOLO ROTTA 1'!F142</f>
        <v>45.861985076458701</v>
      </c>
      <c r="D31" s="88">
        <f>'CALCOLO ROTTA 1'!G142</f>
        <v>10.773563219053298</v>
      </c>
      <c r="E31" s="83">
        <f>IFERROR('CALCOLO ROTTA 1'!Q142,NA())</f>
        <v>423.81693996397269</v>
      </c>
      <c r="F31" s="83">
        <f>IFERROR('CALCOLO ROTTA 1'!R142,NA())</f>
        <v>-112.1868370536539</v>
      </c>
      <c r="H31" s="20">
        <v>3</v>
      </c>
      <c r="I31" s="14">
        <f t="shared" si="0"/>
        <v>45.861985076458701</v>
      </c>
      <c r="J31" s="14">
        <f t="shared" si="1"/>
        <v>10.773563219053298</v>
      </c>
      <c r="K31" s="20">
        <f t="shared" si="2"/>
        <v>423.81693996397269</v>
      </c>
      <c r="L31" s="20">
        <f t="shared" si="3"/>
        <v>-112.1868370536539</v>
      </c>
      <c r="N31" s="39">
        <f t="shared" si="4"/>
        <v>454.58746074422572</v>
      </c>
    </row>
    <row r="32" spans="1:18">
      <c r="B32" s="20">
        <f t="shared" si="5"/>
        <v>4</v>
      </c>
      <c r="C32" s="88">
        <f>IF(AND('CALCOLO ROTTA 1'!I143&lt;0,'CALCOLO ROTTA 1'!I144&lt;0),"",'CALCOLO ROTTA 1'!F143)</f>
        <v>45.862129482878174</v>
      </c>
      <c r="D32" s="88">
        <f>IF(AND('CALCOLO ROTTA 1'!I143&lt;0,'CALCOLO ROTTA 1'!I144&lt;0),"",'CALCOLO ROTTA 1'!G143)</f>
        <v>10.77364194100258</v>
      </c>
      <c r="E32" s="83">
        <f>IFERROR('CALCOLO ROTTA 1'!Q143,NA())</f>
        <v>429.91386638407607</v>
      </c>
      <c r="F32" s="83">
        <f>IFERROR('CALCOLO ROTTA 1'!R143,NA())</f>
        <v>-96.125043143793803</v>
      </c>
      <c r="H32" s="20">
        <v>4</v>
      </c>
      <c r="I32" s="14">
        <f t="shared" si="0"/>
        <v>45.862129482878174</v>
      </c>
      <c r="J32" s="14">
        <f t="shared" si="1"/>
        <v>10.77364194100258</v>
      </c>
      <c r="K32" s="20">
        <f t="shared" si="2"/>
        <v>429.91386638407607</v>
      </c>
      <c r="L32" s="20">
        <f t="shared" si="3"/>
        <v>-96.125043143793803</v>
      </c>
      <c r="N32" s="39">
        <f t="shared" si="4"/>
        <v>17.18003886418694</v>
      </c>
    </row>
    <row r="33" spans="2:14">
      <c r="B33" s="20">
        <f t="shared" si="5"/>
        <v>5</v>
      </c>
      <c r="C33" s="88">
        <f>IF(AND('CALCOLO ROTTA 1'!I143&lt;0,'CALCOLO ROTTA 1'!I144&lt;0),"",'CALCOLO ROTTA 1'!F144)</f>
        <v>45.864102370881902</v>
      </c>
      <c r="D33" s="88">
        <f>IF(AND('CALCOLO ROTTA 1'!I143&lt;0,'CALCOLO ROTTA 1'!I144&lt;0),"",'CALCOLO ROTTA 1'!G144)</f>
        <v>10.76855092821806</v>
      </c>
      <c r="E33" s="83">
        <f>IFERROR('CALCOLO ROTTA 1'!Q144,NA())</f>
        <v>35.583846583745121</v>
      </c>
      <c r="F33" s="83">
        <f>IFERROR('CALCOLO ROTTA 1'!R144,NA())</f>
        <v>123.31197325581512</v>
      </c>
      <c r="H33" s="20">
        <v>5</v>
      </c>
      <c r="I33" s="14">
        <f t="shared" si="0"/>
        <v>45.864102370881902</v>
      </c>
      <c r="J33" s="14">
        <f t="shared" si="1"/>
        <v>10.76855092821806</v>
      </c>
      <c r="K33" s="20">
        <f t="shared" si="2"/>
        <v>35.583846583745121</v>
      </c>
      <c r="L33" s="20">
        <f t="shared" si="3"/>
        <v>123.31197325581512</v>
      </c>
      <c r="N33" s="39">
        <f t="shared" si="4"/>
        <v>451.27460451712949</v>
      </c>
    </row>
    <row r="34" spans="2:14">
      <c r="B34" s="20">
        <f t="shared" si="5"/>
        <v>6</v>
      </c>
      <c r="C34" s="88">
        <f>IF(AND('CALCOLO ROTTA 1'!I145&lt;0,'CALCOLO ROTTA 1'!I146&lt;0),"",'CALCOLO ROTTA 1'!F145)</f>
        <v>45.864232296447142</v>
      </c>
      <c r="D34" s="88">
        <f>IF(AND('CALCOLO ROTTA 1'!I145&lt;0,'CALCOLO ROTTA 1'!I146&lt;0),"",'CALCOLO ROTTA 1'!G145)</f>
        <v>10.768667021561964</v>
      </c>
      <c r="E34" s="83">
        <f>IFERROR('CALCOLO ROTTA 1'!Q145,NA())</f>
        <v>44.575760176227931</v>
      </c>
      <c r="F34" s="83">
        <f>IFERROR('CALCOLO ROTTA 1'!R145,NA())</f>
        <v>137.76311918161923</v>
      </c>
      <c r="H34" s="20">
        <v>6</v>
      </c>
      <c r="I34" s="14">
        <f t="shared" si="0"/>
        <v>45.864232296447142</v>
      </c>
      <c r="J34" s="14">
        <f t="shared" si="1"/>
        <v>10.768667021561964</v>
      </c>
      <c r="K34" s="20">
        <f t="shared" si="2"/>
        <v>44.575760176227931</v>
      </c>
      <c r="L34" s="20">
        <f t="shared" si="3"/>
        <v>137.76311918161923</v>
      </c>
      <c r="N34" s="39">
        <f t="shared" si="4"/>
        <v>17.020285797352578</v>
      </c>
    </row>
    <row r="35" spans="2:14">
      <c r="B35" s="20">
        <f t="shared" si="5"/>
        <v>7</v>
      </c>
      <c r="C35" s="88">
        <f>IF(AND('CALCOLO ROTTA 1'!I145&lt;0,'CALCOLO ROTTA 1'!I146&lt;0),"",'CALCOLO ROTTA 1'!F146)</f>
        <v>45.862273889243575</v>
      </c>
      <c r="D35" s="88">
        <f>IF(AND('CALCOLO ROTTA 1'!I145&lt;0,'CALCOLO ROTTA 1'!I146&lt;0),"",'CALCOLO ROTTA 1'!G146)</f>
        <v>10.773720663360804</v>
      </c>
      <c r="E35" s="83">
        <f>IFERROR('CALCOLO ROTTA 1'!Q146,NA())</f>
        <v>436.01082941321039</v>
      </c>
      <c r="F35" s="83">
        <f>IFERROR('CALCOLO ROTTA 1'!R146,NA())</f>
        <v>-80.063259781614931</v>
      </c>
      <c r="H35" s="20">
        <v>7</v>
      </c>
      <c r="I35" s="14">
        <f t="shared" si="0"/>
        <v>45.862273889243575</v>
      </c>
      <c r="J35" s="14">
        <f t="shared" si="1"/>
        <v>10.773720663360804</v>
      </c>
      <c r="K35" s="20">
        <f t="shared" si="2"/>
        <v>436.01082941321039</v>
      </c>
      <c r="L35" s="20">
        <f t="shared" si="3"/>
        <v>-80.063259781614931</v>
      </c>
      <c r="N35" s="39">
        <f t="shared" si="4"/>
        <v>447.9617671194672</v>
      </c>
    </row>
    <row r="36" spans="2:14">
      <c r="B36" s="20">
        <f t="shared" si="5"/>
        <v>8</v>
      </c>
      <c r="C36" s="88">
        <f>IF(AND('CALCOLO ROTTA 1'!I147&lt;0,'CALCOLO ROTTA 1'!I148&lt;0),"",'CALCOLO ROTTA 1'!F147)</f>
        <v>45.862418295554917</v>
      </c>
      <c r="D36" s="88">
        <f>IF(AND('CALCOLO ROTTA 1'!I147&lt;0,'CALCOLO ROTTA 1'!I148&lt;0),"",'CALCOLO ROTTA 1'!G147)</f>
        <v>10.773799386127974</v>
      </c>
      <c r="E36" s="83">
        <f>IFERROR('CALCOLO ROTTA 1'!Q147,NA())</f>
        <v>442.10778908497133</v>
      </c>
      <c r="F36" s="83">
        <f>IFERROR('CALCOLO ROTTA 1'!R147,NA())</f>
        <v>-64.001478731613616</v>
      </c>
      <c r="H36" s="20">
        <v>8</v>
      </c>
      <c r="I36" s="14">
        <f t="shared" si="0"/>
        <v>45.862418295554917</v>
      </c>
      <c r="J36" s="14">
        <f t="shared" si="1"/>
        <v>10.773799386127974</v>
      </c>
      <c r="K36" s="20">
        <f t="shared" si="2"/>
        <v>442.10778908497133</v>
      </c>
      <c r="L36" s="20">
        <f t="shared" si="3"/>
        <v>-64.001478731613616</v>
      </c>
      <c r="N36" s="39">
        <f t="shared" si="4"/>
        <v>17.180038641902431</v>
      </c>
    </row>
    <row r="37" spans="2:14">
      <c r="B37" s="20">
        <f t="shared" si="5"/>
        <v>9</v>
      </c>
      <c r="C37" s="88">
        <f>IF(AND('CALCOLO ROTTA 1'!I147&lt;0,'CALCOLO ROTTA 1'!I148&lt;0),"",'CALCOLO ROTTA 1'!F148)</f>
        <v>45.864362221894815</v>
      </c>
      <c r="D37" s="88">
        <f>IF(AND('CALCOLO ROTTA 1'!I147&lt;0,'CALCOLO ROTTA 1'!I148&lt;0),"",'CALCOLO ROTTA 1'!G148)</f>
        <v>10.768783115448505</v>
      </c>
      <c r="E37" s="83">
        <f>IFERROR('CALCOLO ROTTA 1'!Q148,NA())</f>
        <v>53.567701281315813</v>
      </c>
      <c r="F37" s="83">
        <f>IFERROR('CALCOLO ROTTA 1'!R148,NA())</f>
        <v>152.21426923302997</v>
      </c>
      <c r="H37" s="20">
        <v>9</v>
      </c>
      <c r="I37" s="14">
        <f t="shared" si="0"/>
        <v>45.864362221894815</v>
      </c>
      <c r="J37" s="14">
        <f t="shared" si="1"/>
        <v>10.768783115448505</v>
      </c>
      <c r="K37" s="20">
        <f t="shared" si="2"/>
        <v>53.567701281315813</v>
      </c>
      <c r="L37" s="20">
        <f t="shared" si="3"/>
        <v>152.21426923302997</v>
      </c>
      <c r="N37" s="39">
        <f t="shared" si="4"/>
        <v>444.64890587786516</v>
      </c>
    </row>
    <row r="38" spans="2:14">
      <c r="B38" s="20">
        <f t="shared" si="5"/>
        <v>10</v>
      </c>
      <c r="C38" s="88">
        <f>IF(AND('CALCOLO ROTTA 1'!I149&lt;0,'CALCOLO ROTTA 1'!I150&lt;0),"",'CALCOLO ROTTA 1'!F149)</f>
        <v>45.864492147224915</v>
      </c>
      <c r="D38" s="88">
        <f>IF(AND('CALCOLO ROTTA 1'!I149&lt;0,'CALCOLO ROTTA 1'!I150&lt;0),"",'CALCOLO ROTTA 1'!G149)</f>
        <v>10.768899209877693</v>
      </c>
      <c r="E38" s="83">
        <f>IFERROR('CALCOLO ROTTA 1'!Q149,NA())</f>
        <v>62.559642339017564</v>
      </c>
      <c r="F38" s="83">
        <f>IFERROR('CALCOLO ROTTA 1'!R149,NA())</f>
        <v>166.66534706659809</v>
      </c>
      <c r="H38" s="20">
        <v>10</v>
      </c>
      <c r="I38" s="14">
        <f t="shared" si="0"/>
        <v>45.864492147224915</v>
      </c>
      <c r="J38" s="14">
        <f t="shared" si="1"/>
        <v>10.768899209877693</v>
      </c>
      <c r="K38" s="20">
        <f t="shared" si="2"/>
        <v>62.559642339017564</v>
      </c>
      <c r="L38" s="20">
        <f t="shared" si="3"/>
        <v>166.66534706659809</v>
      </c>
      <c r="N38" s="39">
        <f t="shared" si="4"/>
        <v>17.020242493484822</v>
      </c>
    </row>
    <row r="39" spans="2:14">
      <c r="B39" s="20">
        <f t="shared" si="5"/>
        <v>11</v>
      </c>
      <c r="C39" s="88">
        <f>IF(AND('CALCOLO ROTTA 1'!I149&lt;0,'CALCOLO ROTTA 1'!I150&lt;0),"",'CALCOLO ROTTA 1'!F150)</f>
        <v>45.862562701812209</v>
      </c>
      <c r="D39" s="88">
        <f>IF(AND('CALCOLO ROTTA 1'!I149&lt;0,'CALCOLO ROTTA 1'!I150&lt;0),"",'CALCOLO ROTTA 1'!G150)</f>
        <v>10.773878109304096</v>
      </c>
      <c r="E39" s="83">
        <f>IFERROR('CALCOLO ROTTA 1'!Q150,NA())</f>
        <v>448.20476544054111</v>
      </c>
      <c r="F39" s="83">
        <f>IFERROR('CALCOLO ROTTA 1'!R150,NA())</f>
        <v>-47.939704349275672</v>
      </c>
      <c r="H39" s="20">
        <v>11</v>
      </c>
      <c r="I39" s="14">
        <f t="shared" si="0"/>
        <v>45.862562701812209</v>
      </c>
      <c r="J39" s="14">
        <f t="shared" si="1"/>
        <v>10.773878109304096</v>
      </c>
      <c r="K39" s="20">
        <f t="shared" si="2"/>
        <v>448.20476544054111</v>
      </c>
      <c r="L39" s="20">
        <f t="shared" si="3"/>
        <v>-47.939704349275672</v>
      </c>
      <c r="N39" s="39">
        <f t="shared" si="4"/>
        <v>441.33602738185681</v>
      </c>
    </row>
    <row r="40" spans="2:14">
      <c r="B40" s="20">
        <f t="shared" si="5"/>
        <v>12</v>
      </c>
      <c r="C40" s="88">
        <f>IF(AND('CALCOLO ROTTA 1'!I151&lt;0,'CALCOLO ROTTA 1'!I152&lt;0),"",'CALCOLO ROTTA 1'!F151)</f>
        <v>45.862707108015449</v>
      </c>
      <c r="D40" s="88">
        <f>IF(AND('CALCOLO ROTTA 1'!I151&lt;0,'CALCOLO ROTTA 1'!I152&lt;0),"",'CALCOLO ROTTA 1'!G151)</f>
        <v>10.773956832889171</v>
      </c>
      <c r="E40" s="83">
        <f>IFERROR('CALCOLO ROTTA 1'!Q151,NA())</f>
        <v>454.30177827415173</v>
      </c>
      <c r="F40" s="83">
        <f>IFERROR('CALCOLO ROTTA 1'!R151,NA())</f>
        <v>-31.877937910561467</v>
      </c>
      <c r="H40" s="20">
        <v>12</v>
      </c>
      <c r="I40" s="14">
        <f t="shared" si="0"/>
        <v>45.862707108015449</v>
      </c>
      <c r="J40" s="14">
        <f t="shared" si="1"/>
        <v>10.773956832889171</v>
      </c>
      <c r="K40" s="20">
        <f t="shared" si="2"/>
        <v>454.30177827415173</v>
      </c>
      <c r="L40" s="20">
        <f t="shared" si="3"/>
        <v>-31.877937910561467</v>
      </c>
      <c r="N40" s="39">
        <f t="shared" si="4"/>
        <v>17.180043848169266</v>
      </c>
    </row>
    <row r="41" spans="2:14">
      <c r="B41" s="20">
        <f t="shared" si="5"/>
        <v>13</v>
      </c>
      <c r="C41" s="88">
        <f>IF(AND('CALCOLO ROTTA 1'!I151&lt;0,'CALCOLO ROTTA 1'!I152&lt;0),"",'CALCOLO ROTTA 1'!F152)</f>
        <v>45.864622072437456</v>
      </c>
      <c r="D41" s="88">
        <f>IF(AND('CALCOLO ROTTA 1'!I151&lt;0,'CALCOLO ROTTA 1'!I152&lt;0),"",'CALCOLO ROTTA 1'!G152)</f>
        <v>10.769015304849535</v>
      </c>
      <c r="E41" s="83">
        <f>IFERROR('CALCOLO ROTTA 1'!Q152,NA())</f>
        <v>71.551628537414018</v>
      </c>
      <c r="F41" s="83">
        <f>IFERROR('CALCOLO ROTTA 1'!R152,NA())</f>
        <v>181.11647660275156</v>
      </c>
      <c r="H41" s="20">
        <v>13</v>
      </c>
      <c r="I41" s="14">
        <f t="shared" si="0"/>
        <v>45.864622072437456</v>
      </c>
      <c r="J41" s="14">
        <f t="shared" si="1"/>
        <v>10.769015304849535</v>
      </c>
      <c r="K41" s="20">
        <f t="shared" si="2"/>
        <v>71.551628537414018</v>
      </c>
      <c r="L41" s="20">
        <f t="shared" si="3"/>
        <v>181.11647660275156</v>
      </c>
      <c r="N41" s="39">
        <f t="shared" si="4"/>
        <v>438.02317032020602</v>
      </c>
    </row>
    <row r="42" spans="2:14">
      <c r="B42" s="20">
        <f t="shared" si="5"/>
        <v>14</v>
      </c>
      <c r="C42" s="88">
        <f>IF(AND('CALCOLO ROTTA 1'!I153&lt;0,'CALCOLO ROTTA 1'!I154&lt;0),"",'CALCOLO ROTTA 1'!F153)</f>
        <v>45.864751997532437</v>
      </c>
      <c r="D42" s="88">
        <f>IF(AND('CALCOLO ROTTA 1'!I153&lt;0,'CALCOLO ROTTA 1'!I154&lt;0),"",'CALCOLO ROTTA 1'!G153)</f>
        <v>10.769131400364031</v>
      </c>
      <c r="E42" s="83">
        <f>IFERROR('CALCOLO ROTTA 1'!Q153,NA())</f>
        <v>80.543624241550972</v>
      </c>
      <c r="F42" s="83">
        <f>IFERROR('CALCOLO ROTTA 1'!R153,NA())</f>
        <v>195.56756260421503</v>
      </c>
      <c r="H42" s="20">
        <v>14</v>
      </c>
      <c r="I42" s="14">
        <f t="shared" si="0"/>
        <v>45.864751997532437</v>
      </c>
      <c r="J42" s="14">
        <f t="shared" si="1"/>
        <v>10.769131400364031</v>
      </c>
      <c r="K42" s="20">
        <f t="shared" si="2"/>
        <v>80.543624241550972</v>
      </c>
      <c r="L42" s="20">
        <f t="shared" si="3"/>
        <v>195.56756260421503</v>
      </c>
      <c r="N42" s="39">
        <f t="shared" si="4"/>
        <v>17.020278298691558</v>
      </c>
    </row>
    <row r="43" spans="2:14">
      <c r="B43" s="20">
        <f t="shared" si="5"/>
        <v>15</v>
      </c>
      <c r="C43" s="88">
        <f>IF(AND('CALCOLO ROTTA 1'!I153&lt;0,'CALCOLO ROTTA 1'!I154&lt;0),"",'CALCOLO ROTTA 1'!F154)</f>
        <v>45.862952459465959</v>
      </c>
      <c r="D43" s="88">
        <f>IF(AND('CALCOLO ROTTA 1'!I153&lt;0,'CALCOLO ROTTA 1'!I154&lt;0),"",'CALCOLO ROTTA 1'!G154)</f>
        <v>10.773775068073395</v>
      </c>
      <c r="E43" s="83">
        <f>IFERROR('CALCOLO ROTTA 1'!Q154,NA())</f>
        <v>440.22209025112738</v>
      </c>
      <c r="F43" s="83">
        <f>IFERROR('CALCOLO ROTTA 1'!R154,NA())</f>
        <v>-4.5884032556595553</v>
      </c>
      <c r="H43" s="20">
        <v>15</v>
      </c>
      <c r="I43" s="14">
        <f t="shared" si="0"/>
        <v>45.862952459465959</v>
      </c>
      <c r="J43" s="14">
        <f t="shared" si="1"/>
        <v>10.773775068073395</v>
      </c>
      <c r="K43" s="20">
        <f t="shared" si="2"/>
        <v>440.22209025112738</v>
      </c>
      <c r="L43" s="20">
        <f t="shared" si="3"/>
        <v>-4.5884032556595553</v>
      </c>
      <c r="N43" s="39">
        <f t="shared" si="4"/>
        <v>411.61998199832487</v>
      </c>
    </row>
    <row r="44" spans="2:14">
      <c r="B44" s="20">
        <f t="shared" si="5"/>
        <v>16</v>
      </c>
      <c r="C44" s="88">
        <f>IF(AND('CALCOLO ROTTA 1'!I155&lt;0,'CALCOLO ROTTA 1'!I156&lt;0),"",'CALCOLO ROTTA 1'!F155)</f>
        <v>45.863341736342257</v>
      </c>
      <c r="D44" s="88">
        <f>IF(AND('CALCOLO ROTTA 1'!I155&lt;0,'CALCOLO ROTTA 1'!I156&lt;0),"",'CALCOLO ROTTA 1'!G155)</f>
        <v>10.773221894226326</v>
      </c>
      <c r="E44" s="83">
        <f>IFERROR('CALCOLO ROTTA 1'!Q155,NA())</f>
        <v>397.37440220708186</v>
      </c>
      <c r="F44" s="83">
        <f>IFERROR('CALCOLO ROTTA 1'!R155,NA())</f>
        <v>38.7094231129837</v>
      </c>
      <c r="H44" s="20">
        <v>16</v>
      </c>
      <c r="I44" s="14">
        <f t="shared" si="0"/>
        <v>45.863341736342257</v>
      </c>
      <c r="J44" s="14">
        <f t="shared" si="1"/>
        <v>10.773221894226326</v>
      </c>
      <c r="K44" s="20">
        <f t="shared" si="2"/>
        <v>397.37440220708186</v>
      </c>
      <c r="L44" s="20">
        <f t="shared" si="3"/>
        <v>38.7094231129837</v>
      </c>
      <c r="N44" s="39">
        <f t="shared" si="4"/>
        <v>60.914909004028083</v>
      </c>
    </row>
    <row r="45" spans="2:14">
      <c r="B45" s="20">
        <f t="shared" si="5"/>
        <v>17</v>
      </c>
      <c r="C45" s="88">
        <f>IF(AND('CALCOLO ROTTA 1'!I155&lt;0,'CALCOLO ROTTA 1'!I156&lt;0),"",'CALCOLO ROTTA 1'!F156)</f>
        <v>45.864881922509859</v>
      </c>
      <c r="D45" s="88">
        <f>IF(AND('CALCOLO ROTTA 1'!I155&lt;0,'CALCOLO ROTTA 1'!I156&lt;0),"",'CALCOLO ROTTA 1'!G156)</f>
        <v>10.769247496421187</v>
      </c>
      <c r="E45" s="83">
        <f>IFERROR('CALCOLO ROTTA 1'!Q156,NA())</f>
        <v>89.535638698027967</v>
      </c>
      <c r="F45" s="83">
        <f>IFERROR('CALCOLO ROTTA 1'!R156,NA())</f>
        <v>210.018630364866</v>
      </c>
      <c r="H45" s="20">
        <v>17</v>
      </c>
      <c r="I45" s="14">
        <f t="shared" si="0"/>
        <v>45.864881922509859</v>
      </c>
      <c r="J45" s="14">
        <f t="shared" si="1"/>
        <v>10.769247496421187</v>
      </c>
      <c r="K45" s="20">
        <f t="shared" si="2"/>
        <v>89.535638698027967</v>
      </c>
      <c r="L45" s="20">
        <f t="shared" si="3"/>
        <v>210.018630364866</v>
      </c>
      <c r="N45" s="39">
        <f t="shared" si="4"/>
        <v>352.29469029216375</v>
      </c>
    </row>
    <row r="46" spans="2:14">
      <c r="B46" s="20">
        <f t="shared" si="5"/>
        <v>18</v>
      </c>
      <c r="C46" s="88">
        <f>IF(AND('CALCOLO ROTTA 1'!I157&lt;0,'CALCOLO ROTTA 1'!I158&lt;0),"",'CALCOLO ROTTA 1'!F157)</f>
        <v>45.865011847369701</v>
      </c>
      <c r="D46" s="88">
        <f>IF(AND('CALCOLO ROTTA 1'!I157&lt;0,'CALCOLO ROTTA 1'!I158&lt;0),"",'CALCOLO ROTTA 1'!G157)</f>
        <v>10.76936359302101</v>
      </c>
      <c r="E46" s="83">
        <f>IFERROR('CALCOLO ROTTA 1'!Q157,NA())</f>
        <v>98.527679613072294</v>
      </c>
      <c r="F46" s="83">
        <f>IFERROR('CALCOLO ROTTA 1'!R157,NA())</f>
        <v>224.46969786090457</v>
      </c>
      <c r="H46" s="20">
        <v>18</v>
      </c>
      <c r="I46" s="14">
        <f t="shared" si="0"/>
        <v>45.865011847369701</v>
      </c>
      <c r="J46" s="14">
        <f t="shared" si="1"/>
        <v>10.76936359302101</v>
      </c>
      <c r="K46" s="20">
        <f t="shared" si="2"/>
        <v>98.527679613072294</v>
      </c>
      <c r="L46" s="20">
        <f t="shared" si="3"/>
        <v>224.46969786090457</v>
      </c>
      <c r="N46" s="39">
        <f t="shared" si="4"/>
        <v>17.02028647211597</v>
      </c>
    </row>
    <row r="47" spans="2:14">
      <c r="B47" s="20">
        <f t="shared" si="5"/>
        <v>19</v>
      </c>
      <c r="C47" s="88">
        <f>IF(AND('CALCOLO ROTTA 1'!I157&lt;0,'CALCOLO ROTTA 1'!I158&lt;0),"",'CALCOLO ROTTA 1'!F158)</f>
        <v>45.863731010549344</v>
      </c>
      <c r="D47" s="88">
        <f>IF(AND('CALCOLO ROTTA 1'!I157&lt;0,'CALCOLO ROTTA 1'!I158&lt;0),"",'CALCOLO ROTTA 1'!G158)</f>
        <v>10.772668712632514</v>
      </c>
      <c r="E47" s="83">
        <f>IFERROR('CALCOLO ROTTA 1'!Q158,NA())</f>
        <v>354.52642314966954</v>
      </c>
      <c r="F47" s="83">
        <f>IFERROR('CALCOLO ROTTA 1'!R158,NA())</f>
        <v>82.006956800356178</v>
      </c>
      <c r="H47" s="20">
        <v>19</v>
      </c>
      <c r="I47" s="14">
        <f t="shared" si="0"/>
        <v>45.863731010549344</v>
      </c>
      <c r="J47" s="14">
        <f t="shared" si="1"/>
        <v>10.772668712632514</v>
      </c>
      <c r="K47" s="20">
        <f t="shared" si="2"/>
        <v>354.52642314966954</v>
      </c>
      <c r="L47" s="20">
        <f t="shared" si="3"/>
        <v>82.006956800356178</v>
      </c>
      <c r="N47" s="39">
        <f t="shared" si="4"/>
        <v>292.96926337553123</v>
      </c>
    </row>
    <row r="48" spans="2:14">
      <c r="B48" s="20">
        <f t="shared" si="5"/>
        <v>20</v>
      </c>
      <c r="C48" s="88">
        <f>IF(AND('CALCOLO ROTTA 1'!I159&lt;0,'CALCOLO ROTTA 1'!I160&lt;0),"",'CALCOLO ROTTA 1'!F159)</f>
        <v>45.864120282087185</v>
      </c>
      <c r="D48" s="88">
        <f>IF(AND('CALCOLO ROTTA 1'!I159&lt;0,'CALCOLO ROTTA 1'!I160&lt;0),"",'CALCOLO ROTTA 1'!G159)</f>
        <v>10.7721155232918</v>
      </c>
      <c r="E48" s="83">
        <f>IFERROR('CALCOLO ROTTA 1'!Q159,NA())</f>
        <v>311.67811549726946</v>
      </c>
      <c r="F48" s="83">
        <f>IFERROR('CALCOLO ROTTA 1'!R159,NA())</f>
        <v>125.30418817731253</v>
      </c>
      <c r="H48" s="20">
        <v>20</v>
      </c>
      <c r="I48" s="14">
        <f t="shared" si="0"/>
        <v>45.864120282087185</v>
      </c>
      <c r="J48" s="14">
        <f t="shared" si="1"/>
        <v>10.7721155232918</v>
      </c>
      <c r="K48" s="20">
        <f t="shared" si="2"/>
        <v>311.67811549726946</v>
      </c>
      <c r="L48" s="20">
        <f t="shared" si="3"/>
        <v>125.30418817731253</v>
      </c>
      <c r="N48" s="39">
        <f t="shared" si="4"/>
        <v>60.914921928739432</v>
      </c>
    </row>
    <row r="49" spans="2:14">
      <c r="B49" s="20">
        <f t="shared" si="5"/>
        <v>21</v>
      </c>
      <c r="C49" s="88">
        <f>IF(AND('CALCOLO ROTTA 1'!I159&lt;0,'CALCOLO ROTTA 1'!I160&lt;0),"",'CALCOLO ROTTA 1'!F160)</f>
        <v>45.865141772111969</v>
      </c>
      <c r="D49" s="88">
        <f>IF(AND('CALCOLO ROTTA 1'!I159&lt;0,'CALCOLO ROTTA 1'!I160&lt;0),"",'CALCOLO ROTTA 1'!G160)</f>
        <v>10.769479690163504</v>
      </c>
      <c r="E49" s="83">
        <f>IFERROR('CALCOLO ROTTA 1'!Q160,NA())</f>
        <v>107.51973920664912</v>
      </c>
      <c r="F49" s="83">
        <f>IFERROR('CALCOLO ROTTA 1'!R160,NA())</f>
        <v>238.92074677784476</v>
      </c>
      <c r="H49" s="20">
        <v>21</v>
      </c>
      <c r="I49" s="14">
        <f t="shared" si="0"/>
        <v>45.865141772111969</v>
      </c>
      <c r="J49" s="14">
        <f t="shared" si="1"/>
        <v>10.769479690163504</v>
      </c>
      <c r="K49" s="20">
        <f t="shared" si="2"/>
        <v>107.51973920664912</v>
      </c>
      <c r="L49" s="20">
        <f t="shared" si="3"/>
        <v>238.92074677784476</v>
      </c>
      <c r="N49" s="39">
        <f t="shared" si="4"/>
        <v>233.64367099891814</v>
      </c>
    </row>
    <row r="50" spans="2:14">
      <c r="B50" s="20">
        <f t="shared" si="5"/>
        <v>22</v>
      </c>
      <c r="C50" s="88">
        <f>IF(AND('CALCOLO ROTTA 1'!I161&lt;0,'CALCOLO ROTTA 1'!I162&lt;0),"",'CALCOLO ROTTA 1'!F161)</f>
        <v>45.865271696736677</v>
      </c>
      <c r="D50" s="88">
        <f>IF(AND('CALCOLO ROTTA 1'!I161&lt;0,'CALCOLO ROTTA 1'!I162&lt;0),"",'CALCOLO ROTTA 1'!G161)</f>
        <v>10.769595787848667</v>
      </c>
      <c r="E50" s="83">
        <f>IFERROR('CALCOLO ROTTA 1'!Q161,NA())</f>
        <v>116.51181777611752</v>
      </c>
      <c r="F50" s="83">
        <f>IFERROR('CALCOLO ROTTA 1'!R161,NA())</f>
        <v>253.37177817338787</v>
      </c>
      <c r="H50" s="20">
        <v>22</v>
      </c>
      <c r="I50" s="14">
        <f t="shared" si="0"/>
        <v>45.865271696736677</v>
      </c>
      <c r="J50" s="14">
        <f t="shared" si="1"/>
        <v>10.769595787848667</v>
      </c>
      <c r="K50" s="20">
        <f t="shared" si="2"/>
        <v>116.51181777611752</v>
      </c>
      <c r="L50" s="20">
        <f t="shared" si="3"/>
        <v>253.37177817338787</v>
      </c>
      <c r="N50" s="39">
        <f t="shared" si="4"/>
        <v>17.020275714407965</v>
      </c>
    </row>
    <row r="51" spans="2:14">
      <c r="B51" s="20">
        <f t="shared" si="5"/>
        <v>23</v>
      </c>
      <c r="C51" s="88">
        <f>IF(AND('CALCOLO ROTTA 1'!I161&lt;0,'CALCOLO ROTTA 1'!I162&lt;0),"",'CALCOLO ROTTA 1'!F162)</f>
        <v>45.864509550955688</v>
      </c>
      <c r="D51" s="88">
        <f>IF(AND('CALCOLO ROTTA 1'!I161&lt;0,'CALCOLO ROTTA 1'!I162&lt;0),"",'CALCOLO ROTTA 1'!G162)</f>
        <v>10.77156232620402</v>
      </c>
      <c r="E51" s="83">
        <f>IFERROR('CALCOLO ROTTA 1'!Q162,NA())</f>
        <v>268.82952684740241</v>
      </c>
      <c r="F51" s="83">
        <f>IFERROR('CALCOLO ROTTA 1'!R162,NA())</f>
        <v>168.60113069662708</v>
      </c>
      <c r="H51" s="20">
        <v>23</v>
      </c>
      <c r="I51" s="14">
        <f t="shared" si="0"/>
        <v>45.864509550955688</v>
      </c>
      <c r="J51" s="14">
        <f t="shared" si="1"/>
        <v>10.77156232620402</v>
      </c>
      <c r="K51" s="20">
        <f t="shared" si="2"/>
        <v>268.82952684740241</v>
      </c>
      <c r="L51" s="20">
        <f t="shared" si="3"/>
        <v>168.60113069662708</v>
      </c>
      <c r="N51" s="39">
        <f t="shared" si="4"/>
        <v>174.31794850317002</v>
      </c>
    </row>
    <row r="52" spans="2:14">
      <c r="B52" s="20">
        <f t="shared" si="5"/>
        <v>24</v>
      </c>
      <c r="C52" s="88">
        <f>IF(AND('CALCOLO ROTTA 1'!I163&lt;0,'CALCOLO ROTTA 1'!I164&lt;0),"",'CALCOLO ROTTA 1'!F163)</f>
        <v>45.864898817154774</v>
      </c>
      <c r="D52" s="88">
        <f>IF(AND('CALCOLO ROTTA 1'!I163&lt;0,'CALCOLO ROTTA 1'!I164&lt;0),"",'CALCOLO ROTTA 1'!G163)</f>
        <v>10.771009121369012</v>
      </c>
      <c r="E52" s="83">
        <f>IFERROR('CALCOLO ROTTA 1'!Q163,NA())</f>
        <v>225.98062090519065</v>
      </c>
      <c r="F52" s="83">
        <f>IFERROR('CALCOLO ROTTA 1'!R163,NA())</f>
        <v>211.89776582791134</v>
      </c>
      <c r="H52" s="20">
        <v>24</v>
      </c>
      <c r="I52" s="14">
        <f t="shared" si="0"/>
        <v>45.864898817154774</v>
      </c>
      <c r="J52" s="14">
        <f t="shared" si="1"/>
        <v>10.771009121369012</v>
      </c>
      <c r="K52" s="20">
        <f t="shared" si="2"/>
        <v>225.98062090519065</v>
      </c>
      <c r="L52" s="20">
        <f t="shared" si="3"/>
        <v>211.89776582791134</v>
      </c>
      <c r="N52" s="39">
        <f t="shared" si="4"/>
        <v>60.914918978326391</v>
      </c>
    </row>
    <row r="53" spans="2:14">
      <c r="B53" s="20">
        <f t="shared" si="5"/>
        <v>25</v>
      </c>
      <c r="C53" s="88">
        <f>IF(AND('CALCOLO ROTTA 1'!I163&lt;0,'CALCOLO ROTTA 1'!I164&lt;0),"",'CALCOLO ROTTA 1'!F164)</f>
        <v>45.865401621243812</v>
      </c>
      <c r="D53" s="88">
        <f>IF(AND('CALCOLO ROTTA 1'!I163&lt;0,'CALCOLO ROTTA 1'!I164&lt;0),"",'CALCOLO ROTTA 1'!G164)</f>
        <v>10.769711886076511</v>
      </c>
      <c r="E53" s="83">
        <f>IFERROR('CALCOLO ROTTA 1'!Q164,NA())</f>
        <v>125.50392852046892</v>
      </c>
      <c r="F53" s="83">
        <f>IFERROR('CALCOLO ROTTA 1'!R164,NA())</f>
        <v>267.82282045673725</v>
      </c>
      <c r="H53" s="20">
        <v>25</v>
      </c>
      <c r="I53" s="14">
        <f t="shared" si="0"/>
        <v>45.865401621243812</v>
      </c>
      <c r="J53" s="14">
        <f t="shared" si="1"/>
        <v>10.769711886076511</v>
      </c>
      <c r="K53" s="20">
        <f t="shared" si="2"/>
        <v>125.50392852046892</v>
      </c>
      <c r="L53" s="20">
        <f t="shared" si="3"/>
        <v>267.82282045673725</v>
      </c>
      <c r="N53" s="39">
        <f t="shared" si="4"/>
        <v>114.99207558702103</v>
      </c>
    </row>
    <row r="54" spans="2:14">
      <c r="B54" s="20">
        <f t="shared" si="5"/>
        <v>26</v>
      </c>
      <c r="C54" s="88">
        <f>IF(AND('CALCOLO ROTTA 1'!I165&lt;0,'CALCOLO ROTTA 1'!I166&lt;0),"",'CALCOLO ROTTA 1'!F165)</f>
        <v>45.865531545633395</v>
      </c>
      <c r="D54" s="88">
        <f>IF(AND('CALCOLO ROTTA 1'!I165&lt;0,'CALCOLO ROTTA 1'!I166&lt;0),"",'CALCOLO ROTTA 1'!G165)</f>
        <v>10.769827984847039</v>
      </c>
      <c r="E54" s="83">
        <f>IFERROR('CALCOLO ROTTA 1'!Q165,NA())</f>
        <v>134.49604525242481</v>
      </c>
      <c r="F54" s="83">
        <f>IFERROR('CALCOLO ROTTA 1'!R165,NA())</f>
        <v>282.2738174651177</v>
      </c>
      <c r="H54" s="20">
        <v>26</v>
      </c>
      <c r="I54" s="14">
        <f t="shared" si="0"/>
        <v>45.865531545633395</v>
      </c>
      <c r="J54" s="14">
        <f t="shared" si="1"/>
        <v>10.769827984847039</v>
      </c>
      <c r="K54" s="20">
        <f t="shared" si="2"/>
        <v>134.49604525242481</v>
      </c>
      <c r="L54" s="20">
        <f t="shared" si="3"/>
        <v>282.2738174651177</v>
      </c>
      <c r="N54" s="39">
        <f t="shared" si="4"/>
        <v>17.020266679971318</v>
      </c>
    </row>
    <row r="55" spans="2:14">
      <c r="B55" s="20">
        <f t="shared" si="5"/>
        <v>27</v>
      </c>
      <c r="C55" s="88">
        <f>IF(AND('CALCOLO ROTTA 1'!I165&lt;0,'CALCOLO ROTTA 1'!I166&lt;0),"",'CALCOLO ROTTA 1'!F166)</f>
        <v>45.865288080684373</v>
      </c>
      <c r="D55" s="88">
        <f>IF(AND('CALCOLO ROTTA 1'!I165&lt;0,'CALCOLO ROTTA 1'!I166&lt;0),"",'CALCOLO ROTTA 1'!G166)</f>
        <v>10.770455908786621</v>
      </c>
      <c r="E55" s="83">
        <f>IFERROR('CALCOLO ROTTA 1'!Q166,NA())</f>
        <v>183.13141372185348</v>
      </c>
      <c r="F55" s="83">
        <f>IFERROR('CALCOLO ROTTA 1'!R166,NA())</f>
        <v>255.19409634913507</v>
      </c>
      <c r="H55" s="20">
        <v>27</v>
      </c>
      <c r="I55" s="14">
        <f t="shared" si="0"/>
        <v>45.865288080684373</v>
      </c>
      <c r="J55" s="14">
        <f t="shared" si="1"/>
        <v>10.770455908786621</v>
      </c>
      <c r="K55" s="20">
        <f t="shared" si="2"/>
        <v>183.13141372185348</v>
      </c>
      <c r="L55" s="20">
        <f t="shared" si="3"/>
        <v>255.19409634913507</v>
      </c>
      <c r="N55" s="39">
        <f t="shared" si="4"/>
        <v>55.666061131325719</v>
      </c>
    </row>
    <row r="56" spans="2:14">
      <c r="B56" s="20" t="str">
        <f t="shared" si="5"/>
        <v/>
      </c>
      <c r="C56" s="88" t="str">
        <f>IF(AND('CALCOLO ROTTA 1'!I167&lt;0,'CALCOLO ROTTA 1'!I168&lt;0),"",'CALCOLO ROTTA 1'!F167)</f>
        <v/>
      </c>
      <c r="D56" s="88" t="str">
        <f>IF(AND('CALCOLO ROTTA 1'!I167&lt;0,'CALCOLO ROTTA 1'!I168&lt;0),"",'CALCOLO ROTTA 1'!G167)</f>
        <v/>
      </c>
      <c r="E56" s="83" t="e">
        <f>IFERROR('CALCOLO ROTTA 1'!Q167,NA())</f>
        <v>#N/A</v>
      </c>
      <c r="F56" s="83" t="e">
        <f>IFERROR('CALCOLO ROTTA 1'!R167,NA())</f>
        <v>#N/A</v>
      </c>
      <c r="H56" s="20">
        <v>28</v>
      </c>
      <c r="I56" s="14">
        <f t="shared" si="0"/>
        <v>45.865653434725203</v>
      </c>
      <c r="J56" s="14">
        <f t="shared" si="1"/>
        <v>10.769936872465202</v>
      </c>
      <c r="K56" s="20">
        <f t="shared" si="2"/>
        <v>142.92962606866806</v>
      </c>
      <c r="L56" s="20">
        <f t="shared" si="3"/>
        <v>295.83108650410469</v>
      </c>
      <c r="N56" s="39">
        <f>IF(_xlfn.IFNA(K56,0)=0,0,SQRT((K56-K55)^2+(L56-L55)^2))</f>
        <v>57.162476322907061</v>
      </c>
    </row>
    <row r="57" spans="2:14">
      <c r="B57" s="20" t="str">
        <f t="shared" si="5"/>
        <v/>
      </c>
      <c r="C57" s="88" t="str">
        <f>IF(AND('CALCOLO ROTTA 1'!I167&lt;0,'CALCOLO ROTTA 1'!I168&lt;0),"",'CALCOLO ROTTA 1'!F168)</f>
        <v/>
      </c>
      <c r="D57" s="88" t="str">
        <f>IF(AND('CALCOLO ROTTA 1'!I167&lt;0,'CALCOLO ROTTA 1'!I168&lt;0),"",'CALCOLO ROTTA 1'!G168)</f>
        <v/>
      </c>
      <c r="E57" s="83" t="e">
        <f>IFERROR('CALCOLO ROTTA 1'!Q168,NA())</f>
        <v>#N/A</v>
      </c>
      <c r="F57" s="83" t="e">
        <f>IFERROR('CALCOLO ROTTA 1'!R168,NA())</f>
        <v>#N/A</v>
      </c>
      <c r="H57" s="20">
        <v>29</v>
      </c>
      <c r="I57" s="14">
        <f t="shared" si="0"/>
        <v>45.86397244519911</v>
      </c>
      <c r="J57" s="14">
        <f t="shared" si="1"/>
        <v>10.7684348354168</v>
      </c>
      <c r="K57" s="20">
        <f t="shared" si="2"/>
        <v>26.59196087443507</v>
      </c>
      <c r="L57" s="20">
        <f t="shared" si="3"/>
        <v>108.8608398244336</v>
      </c>
      <c r="N57" s="39">
        <f t="shared" si="4"/>
        <v>220.20973068032782</v>
      </c>
    </row>
    <row r="58" spans="2:14">
      <c r="B58" s="20" t="str">
        <f t="shared" si="5"/>
        <v/>
      </c>
      <c r="C58" s="88" t="str">
        <f>IF(AND('CALCOLO ROTTA 1'!I169&lt;0,'CALCOLO ROTTA 1'!I170&lt;0),"",'CALCOLO ROTTA 1'!F169)</f>
        <v/>
      </c>
      <c r="D58" s="88" t="str">
        <f>IF(AND('CALCOLO ROTTA 1'!I169&lt;0,'CALCOLO ROTTA 1'!I170&lt;0),"",'CALCOLO ROTTA 1'!G169)</f>
        <v/>
      </c>
      <c r="E58" s="83" t="e">
        <f>IFERROR('CALCOLO ROTTA 1'!Q169,NA())</f>
        <v>#N/A</v>
      </c>
      <c r="F58" s="83" t="e">
        <f>IFERROR('CALCOLO ROTTA 1'!R169,NA())</f>
        <v>#N/A</v>
      </c>
      <c r="H58" s="20">
        <v>30</v>
      </c>
      <c r="I58" s="14">
        <f t="shared" si="0"/>
        <v>45.863898035197792</v>
      </c>
      <c r="J58" s="14">
        <f t="shared" si="1"/>
        <v>10.7686268523841</v>
      </c>
      <c r="K58" s="20">
        <f t="shared" si="2"/>
        <v>41.46460550679204</v>
      </c>
      <c r="L58" s="20">
        <f t="shared" si="3"/>
        <v>100.5844911243028</v>
      </c>
      <c r="N58" s="39">
        <f t="shared" si="4"/>
        <v>17.020385018163758</v>
      </c>
    </row>
    <row r="59" spans="2:14">
      <c r="B59" s="20" t="str">
        <f t="shared" si="5"/>
        <v/>
      </c>
      <c r="C59" s="88" t="str">
        <f>IF(AND('CALCOLO ROTTA 1'!I169&lt;0,'CALCOLO ROTTA 1'!I170&lt;0),"",'CALCOLO ROTTA 1'!F170)</f>
        <v/>
      </c>
      <c r="D59" s="88" t="str">
        <f>IF(AND('CALCOLO ROTTA 1'!I169&lt;0,'CALCOLO ROTTA 1'!I170&lt;0),"",'CALCOLO ROTTA 1'!G170)</f>
        <v/>
      </c>
      <c r="E59" s="83" t="e">
        <f>IFERROR('CALCOLO ROTTA 1'!Q170,NA())</f>
        <v>#N/A</v>
      </c>
      <c r="F59" s="83" t="e">
        <f>IFERROR('CALCOLO ROTTA 1'!R170,NA())</f>
        <v>#N/A</v>
      </c>
      <c r="H59" s="20">
        <v>31</v>
      </c>
      <c r="I59" s="14">
        <f t="shared" si="0"/>
        <v>45.865541748427603</v>
      </c>
      <c r="J59" s="14">
        <f t="shared" si="1"/>
        <v>10.770095586640412</v>
      </c>
      <c r="K59" s="20">
        <f t="shared" si="2"/>
        <v>155.22275001424822</v>
      </c>
      <c r="L59" s="20">
        <f t="shared" si="3"/>
        <v>283.40862404995437</v>
      </c>
      <c r="N59" s="39">
        <f t="shared" si="4"/>
        <v>215.32667977237654</v>
      </c>
    </row>
    <row r="60" spans="2:14">
      <c r="B60" s="20" t="str">
        <f t="shared" si="5"/>
        <v/>
      </c>
      <c r="C60" s="88" t="str">
        <f>IF(AND('CALCOLO ROTTA 1'!I171&lt;0,'CALCOLO ROTTA 1'!I172&lt;0),"",'CALCOLO ROTTA 1'!F171)</f>
        <v/>
      </c>
      <c r="D60" s="88" t="str">
        <f>IF(AND('CALCOLO ROTTA 1'!I171&lt;0,'CALCOLO ROTTA 1'!I172&lt;0),"",'CALCOLO ROTTA 1'!G171)</f>
        <v/>
      </c>
      <c r="E60" s="83" t="e">
        <f>IFERROR('CALCOLO ROTTA 1'!Q171,NA())</f>
        <v>#N/A</v>
      </c>
      <c r="F60" s="83" t="e">
        <f>IFERROR('CALCOLO ROTTA 1'!R171,NA())</f>
        <v>#N/A</v>
      </c>
      <c r="H60" s="20">
        <v>32</v>
      </c>
      <c r="I60" s="14">
        <f t="shared" si="0"/>
        <v>45.865430061910274</v>
      </c>
      <c r="J60" s="14">
        <f t="shared" si="1"/>
        <v>10.770254300177879</v>
      </c>
      <c r="K60" s="20">
        <f t="shared" si="2"/>
        <v>167.51585678220124</v>
      </c>
      <c r="L60" s="20">
        <f t="shared" si="3"/>
        <v>270.98615127673702</v>
      </c>
      <c r="N60" s="39">
        <f t="shared" si="4"/>
        <v>17.476793293096385</v>
      </c>
    </row>
    <row r="61" spans="2:14">
      <c r="B61" s="20" t="str">
        <f t="shared" si="5"/>
        <v/>
      </c>
      <c r="C61" s="88" t="str">
        <f>IF(AND('CALCOLO ROTTA 1'!I171&lt;0,'CALCOLO ROTTA 1'!I172&lt;0),"",'CALCOLO ROTTA 1'!F172)</f>
        <v/>
      </c>
      <c r="D61" s="88" t="str">
        <f>IF(AND('CALCOLO ROTTA 1'!I171&lt;0,'CALCOLO ROTTA 1'!I172&lt;0),"",'CALCOLO ROTTA 1'!G172)</f>
        <v/>
      </c>
      <c r="E61" s="83" t="e">
        <f>IFERROR('CALCOLO ROTTA 1'!Q172,NA())</f>
        <v>#N/A</v>
      </c>
      <c r="F61" s="83" t="e">
        <f>IFERROR('CALCOLO ROTTA 1'!R172,NA())</f>
        <v>#N/A</v>
      </c>
      <c r="H61" s="20">
        <v>33</v>
      </c>
      <c r="I61" s="14">
        <f t="shared" si="0"/>
        <v>45.863823624874847</v>
      </c>
      <c r="J61" s="14">
        <f t="shared" si="1"/>
        <v>10.768818868837386</v>
      </c>
      <c r="K61" s="20">
        <f t="shared" si="2"/>
        <v>56.33724560785403</v>
      </c>
      <c r="L61" s="20">
        <f t="shared" si="3"/>
        <v>92.308131366181243</v>
      </c>
      <c r="N61" s="39">
        <f t="shared" si="4"/>
        <v>210.44362281098861</v>
      </c>
    </row>
    <row r="62" spans="2:14">
      <c r="B62" s="20" t="str">
        <f t="shared" si="5"/>
        <v/>
      </c>
      <c r="C62" s="88" t="str">
        <f>IF(AND('CALCOLO ROTTA 1'!I173&lt;0,'CALCOLO ROTTA 1'!I174&lt;0),"",'CALCOLO ROTTA 1'!F173)</f>
        <v/>
      </c>
      <c r="D62" s="88" t="str">
        <f>IF(AND('CALCOLO ROTTA 1'!I173&lt;0,'CALCOLO ROTTA 1'!I174&lt;0),"",'CALCOLO ROTTA 1'!G173)</f>
        <v/>
      </c>
      <c r="E62" s="83" t="e">
        <f>IFERROR('CALCOLO ROTTA 1'!Q173,NA())</f>
        <v>#N/A</v>
      </c>
      <c r="F62" s="83" t="e">
        <f>IFERROR('CALCOLO ROTTA 1'!R173,NA())</f>
        <v>#N/A</v>
      </c>
      <c r="H62" s="20">
        <v>34</v>
      </c>
      <c r="I62" s="14">
        <f t="shared" si="0"/>
        <v>45.86374921423031</v>
      </c>
      <c r="J62" s="14">
        <f t="shared" si="1"/>
        <v>10.769010884776655</v>
      </c>
      <c r="K62" s="20">
        <f t="shared" si="2"/>
        <v>71.209838105595523</v>
      </c>
      <c r="L62" s="20">
        <f t="shared" si="3"/>
        <v>84.031688877950373</v>
      </c>
      <c r="N62" s="39">
        <f t="shared" si="4"/>
        <v>17.020385068055003</v>
      </c>
    </row>
    <row r="63" spans="2:14">
      <c r="B63" s="20" t="str">
        <f t="shared" si="5"/>
        <v/>
      </c>
      <c r="C63" s="88" t="str">
        <f>IF(AND('CALCOLO ROTTA 1'!I173&lt;0,'CALCOLO ROTTA 1'!I174&lt;0),"",'CALCOLO ROTTA 1'!F174)</f>
        <v/>
      </c>
      <c r="D63" s="88" t="str">
        <f>IF(AND('CALCOLO ROTTA 1'!I173&lt;0,'CALCOLO ROTTA 1'!I174&lt;0),"",'CALCOLO ROTTA 1'!G174)</f>
        <v/>
      </c>
      <c r="E63" s="83" t="e">
        <f>IFERROR('CALCOLO ROTTA 1'!Q174,NA())</f>
        <v>#N/A</v>
      </c>
      <c r="F63" s="83" t="e">
        <f>IFERROR('CALCOLO ROTTA 1'!R174,NA())</f>
        <v>#N/A</v>
      </c>
      <c r="H63" s="20">
        <v>35</v>
      </c>
      <c r="I63" s="14">
        <f t="shared" si="0"/>
        <v>45.865318375173246</v>
      </c>
      <c r="J63" s="14">
        <f t="shared" si="1"/>
        <v>10.770413013077606</v>
      </c>
      <c r="K63" s="20">
        <f t="shared" si="2"/>
        <v>179.80893256006013</v>
      </c>
      <c r="L63" s="20">
        <f t="shared" si="3"/>
        <v>258.56364387427578</v>
      </c>
      <c r="N63" s="39">
        <f t="shared" si="4"/>
        <v>205.56061546699328</v>
      </c>
    </row>
    <row r="64" spans="2:14">
      <c r="B64" s="20" t="str">
        <f t="shared" si="5"/>
        <v/>
      </c>
      <c r="C64" s="88" t="str">
        <f>IF(AND('CALCOLO ROTTA 1'!I175&lt;0,'CALCOLO ROTTA 1'!I176&lt;0),"",'CALCOLO ROTTA 1'!F175)</f>
        <v/>
      </c>
      <c r="D64" s="88" t="str">
        <f>IF(AND('CALCOLO ROTTA 1'!I175&lt;0,'CALCOLO ROTTA 1'!I176&lt;0),"",'CALCOLO ROTTA 1'!G175)</f>
        <v/>
      </c>
      <c r="E64" s="83" t="e">
        <f>IFERROR('CALCOLO ROTTA 1'!Q175,NA())</f>
        <v>#N/A</v>
      </c>
      <c r="F64" s="83" t="e">
        <f>IFERROR('CALCOLO ROTTA 1'!R175,NA())</f>
        <v>#N/A</v>
      </c>
      <c r="H64" s="20">
        <v>36</v>
      </c>
      <c r="I64" s="14">
        <f t="shared" si="0"/>
        <v>45.865206688216482</v>
      </c>
      <c r="J64" s="14">
        <f t="shared" si="1"/>
        <v>10.770571725339599</v>
      </c>
      <c r="K64" s="20">
        <f t="shared" si="2"/>
        <v>192.10198440449278</v>
      </c>
      <c r="L64" s="20">
        <f t="shared" si="3"/>
        <v>246.141114056042</v>
      </c>
      <c r="N64" s="39">
        <f t="shared" si="4"/>
        <v>17.476795207783852</v>
      </c>
    </row>
    <row r="65" spans="2:14">
      <c r="B65" s="20" t="str">
        <f t="shared" si="5"/>
        <v/>
      </c>
      <c r="C65" s="88" t="str">
        <f>IF(AND('CALCOLO ROTTA 1'!I175&lt;0,'CALCOLO ROTTA 1'!I176&lt;0),"",'CALCOLO ROTTA 1'!F176)</f>
        <v/>
      </c>
      <c r="D65" s="88" t="str">
        <f>IF(AND('CALCOLO ROTTA 1'!I175&lt;0,'CALCOLO ROTTA 1'!I176&lt;0),"",'CALCOLO ROTTA 1'!G176)</f>
        <v/>
      </c>
      <c r="E65" s="83" t="e">
        <f>IFERROR('CALCOLO ROTTA 1'!Q176,NA())</f>
        <v>#N/A</v>
      </c>
      <c r="F65" s="83" t="e">
        <f>IFERROR('CALCOLO ROTTA 1'!R176,NA())</f>
        <v>#N/A</v>
      </c>
      <c r="H65" s="20">
        <v>37</v>
      </c>
      <c r="I65" s="14">
        <f t="shared" si="0"/>
        <v>45.863674803264168</v>
      </c>
      <c r="J65" s="14">
        <f t="shared" si="1"/>
        <v>10.769202900201909</v>
      </c>
      <c r="K65" s="20">
        <f t="shared" si="2"/>
        <v>86.082455978207321</v>
      </c>
      <c r="L65" s="20">
        <f t="shared" si="3"/>
        <v>75.755260209978246</v>
      </c>
      <c r="N65" s="39">
        <f t="shared" si="4"/>
        <v>200.67755130702625</v>
      </c>
    </row>
    <row r="66" spans="2:14">
      <c r="B66" s="20" t="str">
        <f t="shared" si="5"/>
        <v/>
      </c>
      <c r="C66" s="88" t="str">
        <f>IF(AND('CALCOLO ROTTA 1'!I177&lt;0,'CALCOLO ROTTA 1'!I178&lt;0),"",'CALCOLO ROTTA 1'!F177)</f>
        <v/>
      </c>
      <c r="D66" s="88" t="str">
        <f>IF(AND('CALCOLO ROTTA 1'!I177&lt;0,'CALCOLO ROTTA 1'!I178&lt;0),"",'CALCOLO ROTTA 1'!G177)</f>
        <v/>
      </c>
      <c r="E66" s="83" t="e">
        <f>IFERROR('CALCOLO ROTTA 1'!Q177,NA())</f>
        <v>#N/A</v>
      </c>
      <c r="F66" s="83" t="e">
        <f>IFERROR('CALCOLO ROTTA 1'!R177,NA())</f>
        <v>#N/A</v>
      </c>
      <c r="H66" s="20">
        <v>38</v>
      </c>
      <c r="I66" s="14">
        <f t="shared" si="0"/>
        <v>45.863600391976405</v>
      </c>
      <c r="J66" s="14">
        <f t="shared" si="1"/>
        <v>10.76939491511315</v>
      </c>
      <c r="K66" s="20">
        <f t="shared" si="2"/>
        <v>100.95498561312498</v>
      </c>
      <c r="L66" s="20">
        <f t="shared" si="3"/>
        <v>67.478736368757993</v>
      </c>
      <c r="N66" s="39">
        <f t="shared" si="4"/>
        <v>17.020369697388809</v>
      </c>
    </row>
    <row r="67" spans="2:14">
      <c r="B67" s="20" t="str">
        <f t="shared" si="5"/>
        <v/>
      </c>
      <c r="C67" s="88" t="str">
        <f>IF(AND('CALCOLO ROTTA 1'!I177&lt;0,'CALCOLO ROTTA 1'!I178&lt;0),"",'CALCOLO ROTTA 1'!F178)</f>
        <v/>
      </c>
      <c r="D67" s="88" t="str">
        <f>IF(AND('CALCOLO ROTTA 1'!I177&lt;0,'CALCOLO ROTTA 1'!I178&lt;0),"",'CALCOLO ROTTA 1'!G178)</f>
        <v/>
      </c>
      <c r="E67" s="83" t="e">
        <f>IFERROR('CALCOLO ROTTA 1'!Q178,NA())</f>
        <v>#N/A</v>
      </c>
      <c r="F67" s="83" t="e">
        <f>IFERROR('CALCOLO ROTTA 1'!R178,NA())</f>
        <v>#N/A</v>
      </c>
      <c r="H67" s="20">
        <v>39</v>
      </c>
      <c r="I67" s="14">
        <f t="shared" si="0"/>
        <v>45.86509500103999</v>
      </c>
      <c r="J67" s="14">
        <f t="shared" si="1"/>
        <v>10.770730436963859</v>
      </c>
      <c r="K67" s="20">
        <f t="shared" si="2"/>
        <v>204.39502222361347</v>
      </c>
      <c r="L67" s="20">
        <f t="shared" si="3"/>
        <v>233.71857264763597</v>
      </c>
      <c r="N67" s="39">
        <f t="shared" si="4"/>
        <v>195.79459732078246</v>
      </c>
    </row>
    <row r="68" spans="2:14">
      <c r="B68" s="20" t="str">
        <f t="shared" si="5"/>
        <v/>
      </c>
      <c r="C68" s="88" t="str">
        <f>IF(AND('CALCOLO ROTTA 1'!I179&lt;0,'CALCOLO ROTTA 1'!I180&lt;0),"",'CALCOLO ROTTA 1'!F179)</f>
        <v/>
      </c>
      <c r="D68" s="88" t="str">
        <f>IF(AND('CALCOLO ROTTA 1'!I179&lt;0,'CALCOLO ROTTA 1'!I180&lt;0),"",'CALCOLO ROTTA 1'!G179)</f>
        <v/>
      </c>
      <c r="E68" s="83" t="e">
        <f>IFERROR('CALCOLO ROTTA 1'!Q179,NA())</f>
        <v>#N/A</v>
      </c>
      <c r="F68" s="83" t="e">
        <f>IFERROR('CALCOLO ROTTA 1'!R179,NA())</f>
        <v>#N/A</v>
      </c>
      <c r="H68" s="20">
        <v>40</v>
      </c>
      <c r="I68" s="14">
        <f t="shared" si="0"/>
        <v>45.864983313643805</v>
      </c>
      <c r="J68" s="14">
        <f t="shared" si="1"/>
        <v>10.770889147950392</v>
      </c>
      <c r="K68" s="20">
        <f t="shared" si="2"/>
        <v>216.68801766509281</v>
      </c>
      <c r="L68" s="20">
        <f t="shared" si="3"/>
        <v>221.29598667526335</v>
      </c>
      <c r="N68" s="39">
        <f t="shared" si="4"/>
        <v>17.476795448972357</v>
      </c>
    </row>
    <row r="69" spans="2:14">
      <c r="B69" s="20" t="str">
        <f t="shared" si="5"/>
        <v/>
      </c>
      <c r="C69" s="88" t="str">
        <f>IF(AND('CALCOLO ROTTA 1'!I179&lt;0,'CALCOLO ROTTA 1'!I180&lt;0),"",'CALCOLO ROTTA 1'!F180)</f>
        <v/>
      </c>
      <c r="D69" s="88" t="str">
        <f>IF(AND('CALCOLO ROTTA 1'!I179&lt;0,'CALCOLO ROTTA 1'!I180&lt;0),"",'CALCOLO ROTTA 1'!G180)</f>
        <v/>
      </c>
      <c r="E69" s="83" t="e">
        <f>IFERROR('CALCOLO ROTTA 1'!Q180,NA())</f>
        <v>#N/A</v>
      </c>
      <c r="F69" s="83" t="e">
        <f>IFERROR('CALCOLO ROTTA 1'!R180,NA())</f>
        <v>#N/A</v>
      </c>
      <c r="H69" s="20">
        <v>41</v>
      </c>
      <c r="I69" s="14">
        <f t="shared" si="0"/>
        <v>45.863525980367065</v>
      </c>
      <c r="J69" s="14">
        <f t="shared" si="1"/>
        <v>10.769586929510373</v>
      </c>
      <c r="K69" s="20">
        <f t="shared" si="2"/>
        <v>115.82754602929033</v>
      </c>
      <c r="L69" s="20">
        <f t="shared" si="3"/>
        <v>59.202215723143517</v>
      </c>
      <c r="N69" s="39">
        <f t="shared" si="4"/>
        <v>190.91156413395916</v>
      </c>
    </row>
    <row r="70" spans="2:14">
      <c r="B70" s="20" t="str">
        <f t="shared" si="5"/>
        <v/>
      </c>
      <c r="C70" s="88" t="str">
        <f>IF(AND('CALCOLO ROTTA 1'!I181&lt;0,'CALCOLO ROTTA 1'!I182&lt;0),"",'CALCOLO ROTTA 1'!F181)</f>
        <v/>
      </c>
      <c r="D70" s="88" t="str">
        <f>IF(AND('CALCOLO ROTTA 1'!I181&lt;0,'CALCOLO ROTTA 1'!I182&lt;0),"",'CALCOLO ROTTA 1'!G181)</f>
        <v/>
      </c>
      <c r="E70" s="83" t="e">
        <f>IFERROR('CALCOLO ROTTA 1'!Q181,NA())</f>
        <v>#N/A</v>
      </c>
      <c r="F70" s="83" t="e">
        <f>IFERROR('CALCOLO ROTTA 1'!R181,NA())</f>
        <v>#N/A</v>
      </c>
      <c r="H70" s="20">
        <v>42</v>
      </c>
      <c r="I70" s="14">
        <f t="shared" si="0"/>
        <v>45.863451568436112</v>
      </c>
      <c r="J70" s="14">
        <f t="shared" si="1"/>
        <v>10.769778943393584</v>
      </c>
      <c r="K70" s="20">
        <f t="shared" si="2"/>
        <v>130.70007648887338</v>
      </c>
      <c r="L70" s="20">
        <f t="shared" si="3"/>
        <v>50.925651670255618</v>
      </c>
      <c r="N70" s="39">
        <f t="shared" si="4"/>
        <v>17.020389971818556</v>
      </c>
    </row>
    <row r="71" spans="2:14">
      <c r="B71" s="20" t="str">
        <f t="shared" si="5"/>
        <v/>
      </c>
      <c r="C71" s="88" t="str">
        <f>IF(AND('CALCOLO ROTTA 1'!I181&lt;0,'CALCOLO ROTTA 1'!I182&lt;0),"",'CALCOLO ROTTA 1'!F182)</f>
        <v/>
      </c>
      <c r="D71" s="88" t="str">
        <f>IF(AND('CALCOLO ROTTA 1'!I181&lt;0,'CALCOLO ROTTA 1'!I182&lt;0),"",'CALCOLO ROTTA 1'!G182)</f>
        <v/>
      </c>
      <c r="E71" s="83" t="e">
        <f>IFERROR('CALCOLO ROTTA 1'!Q182,NA())</f>
        <v>#N/A</v>
      </c>
      <c r="F71" s="83" t="e">
        <f>IFERROR('CALCOLO ROTTA 1'!R182,NA())</f>
        <v>#N/A</v>
      </c>
      <c r="H71" s="20">
        <v>43</v>
      </c>
      <c r="I71" s="14">
        <f t="shared" si="0"/>
        <v>45.864871626027877</v>
      </c>
      <c r="J71" s="14">
        <f t="shared" si="1"/>
        <v>10.771047858299196</v>
      </c>
      <c r="K71" s="20">
        <f t="shared" si="2"/>
        <v>228.98101043985133</v>
      </c>
      <c r="L71" s="20">
        <f t="shared" si="3"/>
        <v>208.87339848000494</v>
      </c>
      <c r="N71" s="39">
        <f t="shared" si="4"/>
        <v>186.02858033257462</v>
      </c>
    </row>
    <row r="72" spans="2:14">
      <c r="B72" s="20" t="str">
        <f t="shared" si="5"/>
        <v/>
      </c>
      <c r="C72" s="88" t="str">
        <f>IF(AND('CALCOLO ROTTA 1'!I183&lt;0,'CALCOLO ROTTA 1'!I184&lt;0),"",'CALCOLO ROTTA 1'!F183)</f>
        <v/>
      </c>
      <c r="D72" s="88" t="str">
        <f>IF(AND('CALCOLO ROTTA 1'!I183&lt;0,'CALCOLO ROTTA 1'!I184&lt;0),"",'CALCOLO ROTTA 1'!G183)</f>
        <v/>
      </c>
      <c r="E72" s="83" t="e">
        <f>IFERROR('CALCOLO ROTTA 1'!Q183,NA())</f>
        <v>#N/A</v>
      </c>
      <c r="F72" s="83" t="e">
        <f>IFERROR('CALCOLO ROTTA 1'!R183,NA())</f>
        <v>#N/A</v>
      </c>
      <c r="H72" s="20">
        <v>44</v>
      </c>
      <c r="I72" s="14">
        <f t="shared" si="0"/>
        <v>45.86475993819225</v>
      </c>
      <c r="J72" s="14">
        <f t="shared" si="1"/>
        <v>10.771206568010284</v>
      </c>
      <c r="K72" s="20">
        <f t="shared" si="2"/>
        <v>241.27395896658277</v>
      </c>
      <c r="L72" s="20">
        <f t="shared" si="3"/>
        <v>196.45076740377542</v>
      </c>
      <c r="N72" s="39">
        <f t="shared" si="4"/>
        <v>17.476794509777015</v>
      </c>
    </row>
    <row r="73" spans="2:14">
      <c r="B73" s="20" t="str">
        <f t="shared" si="5"/>
        <v/>
      </c>
      <c r="C73" s="88" t="str">
        <f>IF(AND('CALCOLO ROTTA 1'!I183&lt;0,'CALCOLO ROTTA 1'!I184&lt;0),"",'CALCOLO ROTTA 1'!F184)</f>
        <v/>
      </c>
      <c r="D73" s="88" t="str">
        <f>IF(AND('CALCOLO ROTTA 1'!I183&lt;0,'CALCOLO ROTTA 1'!I184&lt;0),"",'CALCOLO ROTTA 1'!G184)</f>
        <v/>
      </c>
      <c r="E73" s="83" t="e">
        <f>IFERROR('CALCOLO ROTTA 1'!Q184,NA())</f>
        <v>#N/A</v>
      </c>
      <c r="F73" s="83" t="e">
        <f>IFERROR('CALCOLO ROTTA 1'!R184,NA())</f>
        <v>#N/A</v>
      </c>
      <c r="H73" s="20">
        <v>45</v>
      </c>
      <c r="I73" s="14">
        <f t="shared" si="0"/>
        <v>45.86337715618356</v>
      </c>
      <c r="J73" s="14">
        <f t="shared" si="1"/>
        <v>10.76997095676278</v>
      </c>
      <c r="K73" s="20">
        <f t="shared" si="2"/>
        <v>145.57252048299242</v>
      </c>
      <c r="L73" s="20">
        <f t="shared" si="3"/>
        <v>42.649031712206195</v>
      </c>
      <c r="N73" s="39">
        <f t="shared" si="4"/>
        <v>181.14562989365143</v>
      </c>
    </row>
    <row r="74" spans="2:14">
      <c r="B74" s="20" t="str">
        <f t="shared" si="5"/>
        <v/>
      </c>
      <c r="C74" s="88" t="str">
        <f>IF(AND('CALCOLO ROTTA 1'!I185&lt;0,'CALCOLO ROTTA 1'!I186&lt;0),"",'CALCOLO ROTTA 1'!F185)</f>
        <v/>
      </c>
      <c r="D74" s="88" t="str">
        <f>IF(AND('CALCOLO ROTTA 1'!I185&lt;0,'CALCOLO ROTTA 1'!I186&lt;0),"",'CALCOLO ROTTA 1'!G185)</f>
        <v/>
      </c>
      <c r="E74" s="83" t="e">
        <f>IFERROR('CALCOLO ROTTA 1'!Q185,NA())</f>
        <v>#N/A</v>
      </c>
      <c r="F74" s="83" t="e">
        <f>IFERROR('CALCOLO ROTTA 1'!R185,NA())</f>
        <v>#N/A</v>
      </c>
      <c r="H74" s="20">
        <v>46</v>
      </c>
      <c r="I74" s="14">
        <f t="shared" si="0"/>
        <v>45.86330274360941</v>
      </c>
      <c r="J74" s="14">
        <f t="shared" si="1"/>
        <v>10.770162969617965</v>
      </c>
      <c r="K74" s="20">
        <f t="shared" si="2"/>
        <v>160.44505069047844</v>
      </c>
      <c r="L74" s="20">
        <f t="shared" si="3"/>
        <v>34.372408739902852</v>
      </c>
      <c r="N74" s="39">
        <f t="shared" si="4"/>
        <v>17.020418402561191</v>
      </c>
    </row>
    <row r="75" spans="2:14">
      <c r="B75" s="20" t="str">
        <f t="shared" si="5"/>
        <v/>
      </c>
      <c r="C75" s="88" t="str">
        <f>IF(AND('CALCOLO ROTTA 1'!I185&lt;0,'CALCOLO ROTTA 1'!I186&lt;0),"",'CALCOLO ROTTA 1'!F186)</f>
        <v/>
      </c>
      <c r="D75" s="88" t="str">
        <f>IF(AND('CALCOLO ROTTA 1'!I185&lt;0,'CALCOLO ROTTA 1'!I186&lt;0),"",'CALCOLO ROTTA 1'!G186)</f>
        <v/>
      </c>
      <c r="E75" s="83" t="e">
        <f>IFERROR('CALCOLO ROTTA 1'!Q186,NA())</f>
        <v>#N/A</v>
      </c>
      <c r="F75" s="83" t="e">
        <f>IFERROR('CALCOLO ROTTA 1'!R186,NA())</f>
        <v>#N/A</v>
      </c>
      <c r="H75" s="20">
        <v>47</v>
      </c>
      <c r="I75" s="14">
        <f t="shared" si="0"/>
        <v>45.864648250136916</v>
      </c>
      <c r="J75" s="14">
        <f t="shared" si="1"/>
        <v>10.771365277083655</v>
      </c>
      <c r="K75" s="20">
        <f t="shared" si="2"/>
        <v>253.56690727773247</v>
      </c>
      <c r="L75" s="20">
        <f t="shared" si="3"/>
        <v>184.02813096404293</v>
      </c>
      <c r="N75" s="39">
        <f t="shared" si="4"/>
        <v>176.26263179893257</v>
      </c>
    </row>
    <row r="76" spans="2:14">
      <c r="B76" s="20" t="str">
        <f t="shared" si="5"/>
        <v/>
      </c>
      <c r="C76" s="88" t="str">
        <f>IF(AND('CALCOLO ROTTA 1'!I187&lt;0,'CALCOLO ROTTA 1'!I188&lt;0),"",'CALCOLO ROTTA 1'!F187)</f>
        <v/>
      </c>
      <c r="D76" s="88" t="str">
        <f>IF(AND('CALCOLO ROTTA 1'!I187&lt;0,'CALCOLO ROTTA 1'!I188&lt;0),"",'CALCOLO ROTTA 1'!G187)</f>
        <v/>
      </c>
      <c r="E76" s="83" t="e">
        <f>IFERROR('CALCOLO ROTTA 1'!Q187,NA())</f>
        <v>#N/A</v>
      </c>
      <c r="F76" s="83" t="e">
        <f>IFERROR('CALCOLO ROTTA 1'!R187,NA())</f>
        <v>#N/A</v>
      </c>
      <c r="H76" s="20">
        <v>48</v>
      </c>
      <c r="I76" s="14">
        <f t="shared" si="0"/>
        <v>45.864536561861861</v>
      </c>
      <c r="J76" s="14">
        <f t="shared" si="1"/>
        <v>10.771523985519313</v>
      </c>
      <c r="K76" s="20">
        <f t="shared" si="2"/>
        <v>265.85979777601256</v>
      </c>
      <c r="L76" s="20">
        <f t="shared" si="3"/>
        <v>171.60544590180754</v>
      </c>
      <c r="N76" s="39">
        <f t="shared" si="4"/>
        <v>17.476792067144103</v>
      </c>
    </row>
    <row r="77" spans="2:14">
      <c r="B77" s="20" t="str">
        <f t="shared" si="5"/>
        <v/>
      </c>
      <c r="C77" s="88" t="str">
        <f>IF(AND('CALCOLO ROTTA 1'!I187&lt;0,'CALCOLO ROTTA 1'!I188&lt;0),"",'CALCOLO ROTTA 1'!F188)</f>
        <v/>
      </c>
      <c r="D77" s="88" t="str">
        <f>IF(AND('CALCOLO ROTTA 1'!I187&lt;0,'CALCOLO ROTTA 1'!I188&lt;0),"",'CALCOLO ROTTA 1'!G188)</f>
        <v/>
      </c>
      <c r="E77" s="83" t="e">
        <f>IFERROR('CALCOLO ROTTA 1'!Q188,NA())</f>
        <v>#N/A</v>
      </c>
      <c r="F77" s="83" t="e">
        <f>IFERROR('CALCOLO ROTTA 1'!R188,NA())</f>
        <v>#N/A</v>
      </c>
      <c r="H77" s="20">
        <v>49</v>
      </c>
      <c r="I77" s="14">
        <f t="shared" si="0"/>
        <v>45.863228330713653</v>
      </c>
      <c r="J77" s="14">
        <f t="shared" si="1"/>
        <v>10.770354981959134</v>
      </c>
      <c r="K77" s="20">
        <f t="shared" si="2"/>
        <v>175.3174976646591</v>
      </c>
      <c r="L77" s="20">
        <f t="shared" si="3"/>
        <v>26.095734168042739</v>
      </c>
      <c r="N77" s="39">
        <f t="shared" si="4"/>
        <v>171.37964966208128</v>
      </c>
    </row>
    <row r="78" spans="2:14">
      <c r="B78" s="20" t="str">
        <f t="shared" si="5"/>
        <v/>
      </c>
      <c r="C78" s="88" t="str">
        <f>IF(AND('CALCOLO ROTTA 1'!I189&lt;0,'CALCOLO ROTTA 1'!I190&lt;0),"",'CALCOLO ROTTA 1'!F189)</f>
        <v/>
      </c>
      <c r="D78" s="88" t="str">
        <f>IF(AND('CALCOLO ROTTA 1'!I189&lt;0,'CALCOLO ROTTA 1'!I190&lt;0),"",'CALCOLO ROTTA 1'!G189)</f>
        <v/>
      </c>
      <c r="E78" s="83" t="e">
        <f>IFERROR('CALCOLO ROTTA 1'!Q189,NA())</f>
        <v>#N/A</v>
      </c>
      <c r="F78" s="83" t="e">
        <f>IFERROR('CALCOLO ROTTA 1'!R189,NA())</f>
        <v>#N/A</v>
      </c>
      <c r="H78" s="20">
        <v>50</v>
      </c>
      <c r="I78" s="14">
        <f t="shared" si="0"/>
        <v>45.863153917496341</v>
      </c>
      <c r="J78" s="14">
        <f t="shared" si="1"/>
        <v>10.770546993786294</v>
      </c>
      <c r="K78" s="20">
        <f t="shared" si="2"/>
        <v>190.1899669729662</v>
      </c>
      <c r="L78" s="20">
        <f t="shared" si="3"/>
        <v>17.81902987035372</v>
      </c>
      <c r="N78" s="39">
        <f t="shared" si="4"/>
        <v>17.020404735432134</v>
      </c>
    </row>
    <row r="79" spans="2:14">
      <c r="B79" s="20" t="str">
        <f t="shared" si="5"/>
        <v/>
      </c>
      <c r="C79" s="88" t="str">
        <f>IF(AND('CALCOLO ROTTA 1'!I189&lt;0,'CALCOLO ROTTA 1'!I190&lt;0),"",'CALCOLO ROTTA 1'!F190)</f>
        <v/>
      </c>
      <c r="D79" s="88" t="str">
        <f>IF(AND('CALCOLO ROTTA 1'!I189&lt;0,'CALCOLO ROTTA 1'!I190&lt;0),"",'CALCOLO ROTTA 1'!G190)</f>
        <v/>
      </c>
      <c r="E79" s="83" t="e">
        <f>IFERROR('CALCOLO ROTTA 1'!Q190,NA())</f>
        <v>#N/A</v>
      </c>
      <c r="F79" s="83" t="e">
        <f>IFERROR('CALCOLO ROTTA 1'!R190,NA())</f>
        <v>#N/A</v>
      </c>
      <c r="H79" s="20">
        <v>51</v>
      </c>
      <c r="I79" s="14">
        <f t="shared" si="0"/>
        <v>45.864424873367099</v>
      </c>
      <c r="J79" s="14">
        <f t="shared" si="1"/>
        <v>10.771682693317262</v>
      </c>
      <c r="K79" s="20">
        <f t="shared" si="2"/>
        <v>278.15267687465001</v>
      </c>
      <c r="L79" s="20">
        <f t="shared" si="3"/>
        <v>159.18274642491704</v>
      </c>
      <c r="N79" s="39">
        <f t="shared" si="4"/>
        <v>166.49666270339085</v>
      </c>
    </row>
    <row r="80" spans="2:14">
      <c r="B80" s="20" t="str">
        <f t="shared" si="5"/>
        <v/>
      </c>
      <c r="C80" s="88" t="str">
        <f>IF(AND('CALCOLO ROTTA 1'!I191&lt;0,'CALCOLO ROTTA 1'!I192&lt;0),"",'CALCOLO ROTTA 1'!F191)</f>
        <v/>
      </c>
      <c r="D80" s="88" t="str">
        <f>IF(AND('CALCOLO ROTTA 1'!I191&lt;0,'CALCOLO ROTTA 1'!I192&lt;0),"",'CALCOLO ROTTA 1'!G191)</f>
        <v/>
      </c>
      <c r="E80" s="83" t="e">
        <f>IFERROR('CALCOLO ROTTA 1'!Q191,NA())</f>
        <v>#N/A</v>
      </c>
      <c r="F80" s="83" t="e">
        <f>IFERROR('CALCOLO ROTTA 1'!R191,NA())</f>
        <v>#N/A</v>
      </c>
      <c r="H80" s="20">
        <v>52</v>
      </c>
      <c r="I80" s="14">
        <f t="shared" si="0"/>
        <v>45.864313184652623</v>
      </c>
      <c r="J80" s="14">
        <f t="shared" si="1"/>
        <v>10.771841400477502</v>
      </c>
      <c r="K80" s="20">
        <f t="shared" si="2"/>
        <v>290.44554545219967</v>
      </c>
      <c r="L80" s="20">
        <f t="shared" si="3"/>
        <v>146.76002999780439</v>
      </c>
      <c r="N80" s="39">
        <f t="shared" si="4"/>
        <v>17.476798942980434</v>
      </c>
    </row>
    <row r="81" spans="2:14">
      <c r="B81" s="20" t="str">
        <f t="shared" si="5"/>
        <v/>
      </c>
      <c r="C81" s="88" t="str">
        <f>IF(AND('CALCOLO ROTTA 1'!I191&lt;0,'CALCOLO ROTTA 1'!I192&lt;0),"",'CALCOLO ROTTA 1'!F192)</f>
        <v/>
      </c>
      <c r="D81" s="88" t="str">
        <f>IF(AND('CALCOLO ROTTA 1'!I191&lt;0,'CALCOLO ROTTA 1'!I192&lt;0),"",'CALCOLO ROTTA 1'!G192)</f>
        <v/>
      </c>
      <c r="E81" s="83" t="e">
        <f>IFERROR('CALCOLO ROTTA 1'!Q192,NA())</f>
        <v>#N/A</v>
      </c>
      <c r="F81" s="83" t="e">
        <f>IFERROR('CALCOLO ROTTA 1'!R192,NA())</f>
        <v>#N/A</v>
      </c>
      <c r="H81" s="20">
        <v>53</v>
      </c>
      <c r="I81" s="14">
        <f t="shared" si="0"/>
        <v>45.863079503957415</v>
      </c>
      <c r="J81" s="14">
        <f t="shared" si="1"/>
        <v>10.770739005099442</v>
      </c>
      <c r="K81" s="20">
        <f t="shared" si="2"/>
        <v>205.06238465383129</v>
      </c>
      <c r="L81" s="20">
        <f t="shared" si="3"/>
        <v>9.5422859747766964</v>
      </c>
      <c r="N81" s="39">
        <f t="shared" si="4"/>
        <v>161.6137166910321</v>
      </c>
    </row>
    <row r="82" spans="2:14">
      <c r="B82" s="20" t="str">
        <f t="shared" si="5"/>
        <v/>
      </c>
      <c r="C82" s="88" t="str">
        <f>IF(AND('CALCOLO ROTTA 1'!I193&lt;0,'CALCOLO ROTTA 1'!I194&lt;0),"",'CALCOLO ROTTA 1'!F193)</f>
        <v/>
      </c>
      <c r="D82" s="88" t="str">
        <f>IF(AND('CALCOLO ROTTA 1'!I193&lt;0,'CALCOLO ROTTA 1'!I194&lt;0),"",'CALCOLO ROTTA 1'!G193)</f>
        <v/>
      </c>
      <c r="E82" s="83" t="e">
        <f>IFERROR('CALCOLO ROTTA 1'!Q193,NA())</f>
        <v>#N/A</v>
      </c>
      <c r="F82" s="83" t="e">
        <f>IFERROR('CALCOLO ROTTA 1'!R193,NA())</f>
        <v>#N/A</v>
      </c>
      <c r="H82" s="20">
        <v>54</v>
      </c>
      <c r="I82" s="14">
        <f t="shared" si="0"/>
        <v>45.863005090096884</v>
      </c>
      <c r="J82" s="14">
        <f t="shared" si="1"/>
        <v>10.770931015898578</v>
      </c>
      <c r="K82" s="20">
        <f t="shared" si="2"/>
        <v>219.93477718439911</v>
      </c>
      <c r="L82" s="20">
        <f t="shared" si="3"/>
        <v>1.2655069866324891</v>
      </c>
      <c r="N82" s="39">
        <f t="shared" si="4"/>
        <v>17.020373967744508</v>
      </c>
    </row>
    <row r="83" spans="2:14">
      <c r="B83" s="20" t="str">
        <f t="shared" si="5"/>
        <v/>
      </c>
      <c r="C83" s="88" t="str">
        <f>IF(AND('CALCOLO ROTTA 1'!I193&lt;0,'CALCOLO ROTTA 1'!I194&lt;0),"",'CALCOLO ROTTA 1'!F194)</f>
        <v/>
      </c>
      <c r="D83" s="88" t="str">
        <f>IF(AND('CALCOLO ROTTA 1'!I193&lt;0,'CALCOLO ROTTA 1'!I194&lt;0),"",'CALCOLO ROTTA 1'!G194)</f>
        <v/>
      </c>
      <c r="E83" s="83" t="e">
        <f>IFERROR('CALCOLO ROTTA 1'!Q194,NA())</f>
        <v>#N/A</v>
      </c>
      <c r="F83" s="83" t="e">
        <f>IFERROR('CALCOLO ROTTA 1'!R194,NA())</f>
        <v>#N/A</v>
      </c>
      <c r="H83" s="20">
        <v>55</v>
      </c>
      <c r="I83" s="14">
        <f t="shared" si="0"/>
        <v>45.864201495718454</v>
      </c>
      <c r="J83" s="14">
        <f t="shared" si="1"/>
        <v>10.772000107000045</v>
      </c>
      <c r="K83" s="20">
        <f t="shared" si="2"/>
        <v>302.73837893739704</v>
      </c>
      <c r="L83" s="20">
        <f t="shared" si="3"/>
        <v>134.33728305798581</v>
      </c>
      <c r="N83" s="39">
        <f t="shared" si="4"/>
        <v>156.73076931494174</v>
      </c>
    </row>
    <row r="84" spans="2:14">
      <c r="B84" s="20" t="str">
        <f t="shared" si="5"/>
        <v/>
      </c>
      <c r="C84" s="88" t="str">
        <f>IF(AND('CALCOLO ROTTA 1'!I195&lt;0,'CALCOLO ROTTA 1'!I196&lt;0),"",'CALCOLO ROTTA 1'!F195)</f>
        <v/>
      </c>
      <c r="D84" s="88" t="str">
        <f>IF(AND('CALCOLO ROTTA 1'!I195&lt;0,'CALCOLO ROTTA 1'!I196&lt;0),"",'CALCOLO ROTTA 1'!G195)</f>
        <v/>
      </c>
      <c r="E84" s="83" t="e">
        <f>IFERROR('CALCOLO ROTTA 1'!Q195,NA())</f>
        <v>#N/A</v>
      </c>
      <c r="F84" s="83" t="e">
        <f>IFERROR('CALCOLO ROTTA 1'!R195,NA())</f>
        <v>#N/A</v>
      </c>
      <c r="H84" s="20">
        <v>56</v>
      </c>
      <c r="I84" s="14">
        <f t="shared" si="0"/>
        <v>45.864089806564579</v>
      </c>
      <c r="J84" s="14">
        <f t="shared" si="1"/>
        <v>10.772158812884886</v>
      </c>
      <c r="K84" s="20">
        <f t="shared" si="2"/>
        <v>315.03117710454774</v>
      </c>
      <c r="L84" s="20">
        <f t="shared" si="3"/>
        <v>121.91450746501903</v>
      </c>
      <c r="N84" s="39">
        <f t="shared" si="4"/>
        <v>17.476791473594766</v>
      </c>
    </row>
    <row r="85" spans="2:14">
      <c r="B85" s="20" t="str">
        <f t="shared" si="5"/>
        <v/>
      </c>
      <c r="C85" s="88" t="str">
        <f>IF(AND('CALCOLO ROTTA 1'!I195&lt;0,'CALCOLO ROTTA 1'!I196&lt;0),"",'CALCOLO ROTTA 1'!F196)</f>
        <v/>
      </c>
      <c r="D85" s="88" t="str">
        <f>IF(AND('CALCOLO ROTTA 1'!I195&lt;0,'CALCOLO ROTTA 1'!I196&lt;0),"",'CALCOLO ROTTA 1'!G196)</f>
        <v/>
      </c>
      <c r="E85" s="83" t="e">
        <f>IFERROR('CALCOLO ROTTA 1'!Q196,NA())</f>
        <v>#N/A</v>
      </c>
      <c r="F85" s="83" t="e">
        <f>IFERROR('CALCOLO ROTTA 1'!R196,NA())</f>
        <v>#N/A</v>
      </c>
      <c r="H85" s="20">
        <v>57</v>
      </c>
      <c r="I85" s="14">
        <f t="shared" si="0"/>
        <v>45.862930675914782</v>
      </c>
      <c r="J85" s="14">
        <f t="shared" si="1"/>
        <v>10.771123026183703</v>
      </c>
      <c r="K85" s="20">
        <f t="shared" si="2"/>
        <v>234.80716483171258</v>
      </c>
      <c r="L85" s="20">
        <f t="shared" si="3"/>
        <v>-7.0113072693667631</v>
      </c>
      <c r="N85" s="39">
        <f t="shared" si="4"/>
        <v>151.84781147608675</v>
      </c>
    </row>
    <row r="86" spans="2:14">
      <c r="B86" s="20" t="str">
        <f t="shared" si="5"/>
        <v/>
      </c>
      <c r="C86" s="88" t="str">
        <f>IF(AND('CALCOLO ROTTA 1'!I197&lt;0,'CALCOLO ROTTA 1'!I198&lt;0),"",'CALCOLO ROTTA 1'!F197)</f>
        <v/>
      </c>
      <c r="D86" s="88" t="str">
        <f>IF(AND('CALCOLO ROTTA 1'!I197&lt;0,'CALCOLO ROTTA 1'!I198&lt;0),"",'CALCOLO ROTTA 1'!G197)</f>
        <v/>
      </c>
      <c r="E86" s="83" t="e">
        <f>IFERROR('CALCOLO ROTTA 1'!Q197,NA())</f>
        <v>#N/A</v>
      </c>
      <c r="F86" s="83" t="e">
        <f>IFERROR('CALCOLO ROTTA 1'!R197,NA())</f>
        <v>#N/A</v>
      </c>
      <c r="H86" s="20">
        <v>58</v>
      </c>
      <c r="I86" s="14">
        <f t="shared" si="0"/>
        <v>45.862856261411089</v>
      </c>
      <c r="J86" s="14">
        <f t="shared" si="1"/>
        <v>10.771315035954819</v>
      </c>
      <c r="K86" s="20">
        <f t="shared" si="2"/>
        <v>249.67952688198505</v>
      </c>
      <c r="L86" s="20">
        <f t="shared" si="3"/>
        <v>-15.288157106185468</v>
      </c>
      <c r="N86" s="39">
        <f t="shared" si="4"/>
        <v>17.020381787011434</v>
      </c>
    </row>
    <row r="87" spans="2:14">
      <c r="B87" s="20" t="str">
        <f t="shared" si="5"/>
        <v/>
      </c>
      <c r="C87" s="88" t="str">
        <f>IF(AND('CALCOLO ROTTA 1'!I197&lt;0,'CALCOLO ROTTA 1'!I198&lt;0),"",'CALCOLO ROTTA 1'!F198)</f>
        <v/>
      </c>
      <c r="D87" s="88" t="str">
        <f>IF(AND('CALCOLO ROTTA 1'!I197&lt;0,'CALCOLO ROTTA 1'!I198&lt;0),"",'CALCOLO ROTTA 1'!G198)</f>
        <v/>
      </c>
      <c r="E87" s="83" t="e">
        <f>IFERROR('CALCOLO ROTTA 1'!Q198,NA())</f>
        <v>#N/A</v>
      </c>
      <c r="F87" s="83" t="e">
        <f>IFERROR('CALCOLO ROTTA 1'!R198,NA())</f>
        <v>#N/A</v>
      </c>
      <c r="H87" s="20">
        <v>59</v>
      </c>
      <c r="I87" s="14">
        <f t="shared" si="0"/>
        <v>45.863978117190996</v>
      </c>
      <c r="J87" s="14">
        <f t="shared" si="1"/>
        <v>10.772317518132036</v>
      </c>
      <c r="K87" s="20">
        <f t="shared" si="2"/>
        <v>327.32394009713653</v>
      </c>
      <c r="L87" s="20">
        <f t="shared" si="3"/>
        <v>109.49170494576504</v>
      </c>
      <c r="N87" s="39">
        <f t="shared" si="4"/>
        <v>146.96485592558849</v>
      </c>
    </row>
    <row r="88" spans="2:14">
      <c r="B88" s="20" t="str">
        <f t="shared" si="5"/>
        <v/>
      </c>
      <c r="C88" s="88" t="str">
        <f>IF(AND('CALCOLO ROTTA 1'!I199&lt;0,'CALCOLO ROTTA 1'!I200&lt;0),"",'CALCOLO ROTTA 1'!F199)</f>
        <v/>
      </c>
      <c r="D88" s="88" t="str">
        <f>IF(AND('CALCOLO ROTTA 1'!I199&lt;0,'CALCOLO ROTTA 1'!I200&lt;0),"",'CALCOLO ROTTA 1'!G199)</f>
        <v/>
      </c>
      <c r="E88" s="83" t="e">
        <f>IFERROR('CALCOLO ROTTA 1'!Q199,NA())</f>
        <v>#N/A</v>
      </c>
      <c r="F88" s="83" t="e">
        <f>IFERROR('CALCOLO ROTTA 1'!R199,NA())</f>
        <v>#N/A</v>
      </c>
      <c r="H88" s="20">
        <v>60</v>
      </c>
      <c r="I88" s="14">
        <f t="shared" si="0"/>
        <v>45.863866427597706</v>
      </c>
      <c r="J88" s="14">
        <f t="shared" si="1"/>
        <v>10.772476222741496</v>
      </c>
      <c r="K88" s="20">
        <f t="shared" si="2"/>
        <v>339.61671743182859</v>
      </c>
      <c r="L88" s="20">
        <f t="shared" si="3"/>
        <v>97.068891073053891</v>
      </c>
      <c r="N88" s="39">
        <f t="shared" si="4"/>
        <v>17.47680403038105</v>
      </c>
    </row>
    <row r="89" spans="2:14">
      <c r="B89" s="20" t="str">
        <f t="shared" si="5"/>
        <v/>
      </c>
      <c r="C89" s="88" t="str">
        <f>IF(AND('CALCOLO ROTTA 1'!I199&lt;0,'CALCOLO ROTTA 1'!I200&lt;0),"",'CALCOLO ROTTA 1'!F200)</f>
        <v/>
      </c>
      <c r="D89" s="88" t="str">
        <f>IF(AND('CALCOLO ROTTA 1'!I199&lt;0,'CALCOLO ROTTA 1'!I200&lt;0),"",'CALCOLO ROTTA 1'!G200)</f>
        <v/>
      </c>
      <c r="E89" s="83" t="e">
        <f>IFERROR('CALCOLO ROTTA 1'!Q200,NA())</f>
        <v>#N/A</v>
      </c>
      <c r="F89" s="83" t="e">
        <f>IFERROR('CALCOLO ROTTA 1'!R200,NA())</f>
        <v>#N/A</v>
      </c>
      <c r="H89" s="20">
        <v>61</v>
      </c>
      <c r="I89" s="14">
        <f t="shared" si="0"/>
        <v>45.862781846585804</v>
      </c>
      <c r="J89" s="14">
        <f t="shared" si="1"/>
        <v>10.771507045211923</v>
      </c>
      <c r="K89" s="20">
        <f t="shared" si="2"/>
        <v>264.55186435087722</v>
      </c>
      <c r="L89" s="20">
        <f t="shared" si="3"/>
        <v>-23.565042111683557</v>
      </c>
      <c r="N89" s="39">
        <f t="shared" si="4"/>
        <v>142.08194115961575</v>
      </c>
    </row>
    <row r="90" spans="2:14">
      <c r="B90" s="20" t="str">
        <f t="shared" si="5"/>
        <v/>
      </c>
      <c r="C90" s="88" t="str">
        <f>IF(AND('CALCOLO ROTTA 1'!I201&lt;0,'CALCOLO ROTTA 1'!I202&lt;0),"",'CALCOLO ROTTA 1'!F201)</f>
        <v/>
      </c>
      <c r="D90" s="88" t="str">
        <f>IF(AND('CALCOLO ROTTA 1'!I201&lt;0,'CALCOLO ROTTA 1'!I202&lt;0),"",'CALCOLO ROTTA 1'!G201)</f>
        <v/>
      </c>
      <c r="E90" s="83" t="e">
        <f>IFERROR('CALCOLO ROTTA 1'!Q201,NA())</f>
        <v>#N/A</v>
      </c>
      <c r="F90" s="83" t="e">
        <f>IFERROR('CALCOLO ROTTA 1'!R201,NA())</f>
        <v>#N/A</v>
      </c>
      <c r="H90" s="20">
        <v>62</v>
      </c>
      <c r="I90" s="14">
        <f t="shared" si="0"/>
        <v>45.862707431438942</v>
      </c>
      <c r="J90" s="14">
        <f t="shared" si="1"/>
        <v>10.77169905395502</v>
      </c>
      <c r="K90" s="20">
        <f t="shared" si="2"/>
        <v>279.42420992082043</v>
      </c>
      <c r="L90" s="20">
        <f t="shared" si="3"/>
        <v>-31.841965694872229</v>
      </c>
      <c r="N90" s="39">
        <f t="shared" si="4"/>
        <v>17.020403248858532</v>
      </c>
    </row>
    <row r="91" spans="2:14">
      <c r="B91" s="20" t="str">
        <f t="shared" si="5"/>
        <v/>
      </c>
      <c r="C91" s="88" t="str">
        <f>IF(AND('CALCOLO ROTTA 1'!I201&lt;0,'CALCOLO ROTTA 1'!I202&lt;0),"",'CALCOLO ROTTA 1'!F202)</f>
        <v/>
      </c>
      <c r="D91" s="88" t="str">
        <f>IF(AND('CALCOLO ROTTA 1'!I201&lt;0,'CALCOLO ROTTA 1'!I202&lt;0),"",'CALCOLO ROTTA 1'!G202)</f>
        <v/>
      </c>
      <c r="E91" s="83" t="e">
        <f>IFERROR('CALCOLO ROTTA 1'!Q202,NA())</f>
        <v>#N/A</v>
      </c>
      <c r="F91" s="83" t="e">
        <f>IFERROR('CALCOLO ROTTA 1'!R202,NA())</f>
        <v>#N/A</v>
      </c>
      <c r="H91" s="20">
        <v>63</v>
      </c>
      <c r="I91" s="14">
        <f t="shared" si="0"/>
        <v>45.863754737784724</v>
      </c>
      <c r="J91" s="14">
        <f t="shared" si="1"/>
        <v>10.77263492671327</v>
      </c>
      <c r="K91" s="20">
        <f t="shared" si="2"/>
        <v>351.90944724401794</v>
      </c>
      <c r="L91" s="20">
        <f t="shared" si="3"/>
        <v>84.646045465774392</v>
      </c>
      <c r="N91" s="39">
        <f t="shared" si="4"/>
        <v>137.19900281694177</v>
      </c>
    </row>
    <row r="92" spans="2:14">
      <c r="B92" s="20" t="str">
        <f t="shared" si="5"/>
        <v/>
      </c>
      <c r="C92" s="88" t="str">
        <f>IF(AND('CALCOLO ROTTA 1'!I203&lt;0,'CALCOLO ROTTA 1'!I204&lt;0),"",'CALCOLO ROTTA 1'!F203)</f>
        <v/>
      </c>
      <c r="D92" s="88" t="str">
        <f>IF(AND('CALCOLO ROTTA 1'!I203&lt;0,'CALCOLO ROTTA 1'!I204&lt;0),"",'CALCOLO ROTTA 1'!G203)</f>
        <v/>
      </c>
      <c r="E92" s="83" t="e">
        <f>IFERROR('CALCOLO ROTTA 1'!Q203,NA())</f>
        <v>#N/A</v>
      </c>
      <c r="F92" s="83" t="e">
        <f>IFERROR('CALCOLO ROTTA 1'!R203,NA())</f>
        <v>#N/A</v>
      </c>
      <c r="H92" s="20">
        <v>64</v>
      </c>
      <c r="I92" s="14">
        <f t="shared" si="0"/>
        <v>45.863643047752056</v>
      </c>
      <c r="J92" s="14">
        <f t="shared" si="1"/>
        <v>10.772793630047358</v>
      </c>
      <c r="K92" s="20">
        <f t="shared" si="2"/>
        <v>364.2021780988847</v>
      </c>
      <c r="L92" s="20">
        <f t="shared" si="3"/>
        <v>72.223180827874728</v>
      </c>
      <c r="N92" s="39">
        <f t="shared" si="4"/>
        <v>17.476807422460524</v>
      </c>
    </row>
    <row r="93" spans="2:14">
      <c r="B93" s="20" t="str">
        <f t="shared" si="5"/>
        <v/>
      </c>
      <c r="C93" s="88" t="str">
        <f>IF(AND('CALCOLO ROTTA 1'!I203&lt;0,'CALCOLO ROTTA 1'!I204&lt;0),"",'CALCOLO ROTTA 1'!F204)</f>
        <v/>
      </c>
      <c r="D93" s="88" t="str">
        <f>IF(AND('CALCOLO ROTTA 1'!I203&lt;0,'CALCOLO ROTTA 1'!I204&lt;0),"",'CALCOLO ROTTA 1'!G204)</f>
        <v/>
      </c>
      <c r="E93" s="83" t="e">
        <f>IFERROR('CALCOLO ROTTA 1'!Q204,NA())</f>
        <v>#N/A</v>
      </c>
      <c r="F93" s="83" t="e">
        <f>IFERROR('CALCOLO ROTTA 1'!R204,NA())</f>
        <v>#N/A</v>
      </c>
      <c r="H93" s="20">
        <v>65</v>
      </c>
      <c r="I93" s="14">
        <f t="shared" si="0"/>
        <v>45.862633015970509</v>
      </c>
      <c r="J93" s="14">
        <f t="shared" si="1"/>
        <v>10.771891062184107</v>
      </c>
      <c r="K93" s="20">
        <f t="shared" si="2"/>
        <v>294.29649876569437</v>
      </c>
      <c r="L93" s="20">
        <f t="shared" si="3"/>
        <v>-40.118920951957826</v>
      </c>
      <c r="N93" s="39">
        <f t="shared" si="4"/>
        <v>132.31610572921608</v>
      </c>
    </row>
    <row r="94" spans="2:14">
      <c r="B94" s="20" t="str">
        <f t="shared" si="5"/>
        <v/>
      </c>
      <c r="C94" s="88" t="str">
        <f>IF(AND('CALCOLO ROTTA 1'!I205&lt;0,'CALCOLO ROTTA 1'!I206&lt;0),"",'CALCOLO ROTTA 1'!F205)</f>
        <v/>
      </c>
      <c r="D94" s="88" t="str">
        <f>IF(AND('CALCOLO ROTTA 1'!I205&lt;0,'CALCOLO ROTTA 1'!I206&lt;0),"",'CALCOLO ROTTA 1'!G205)</f>
        <v/>
      </c>
      <c r="E94" s="83" t="e">
        <f>IFERROR('CALCOLO ROTTA 1'!Q205,NA())</f>
        <v>#N/A</v>
      </c>
      <c r="F94" s="83" t="e">
        <f>IFERROR('CALCOLO ROTTA 1'!R205,NA())</f>
        <v>#N/A</v>
      </c>
      <c r="H94" s="20">
        <v>66</v>
      </c>
      <c r="I94" s="14">
        <f t="shared" ref="I94:I127" si="6">IF(AND($H94&gt;=$B$1,$B$4=FALSE),"",IFERROR(VLOOKUP($H94,$B$29:$D$225,2,FALSE),""))</f>
        <v>45.862558600180463</v>
      </c>
      <c r="J94" s="14">
        <f t="shared" ref="J94:J127" si="7">IF(AND($H94&gt;=$B$1,$B$4=FALSE),"",IFERROR(VLOOKUP($H94,$B$29:$D$225,3,FALSE),""))</f>
        <v>10.772083069899185</v>
      </c>
      <c r="K94" s="20">
        <f t="shared" ref="K94:K127" si="8">IF(AND($H94&gt;=$B$1,$B$4=FALSE),NA(),IFERROR(VLOOKUP(H94,$B$29:$F$225,4,FALSE),NA()))</f>
        <v>309.16876522642013</v>
      </c>
      <c r="L94" s="20">
        <f t="shared" ref="L94:L127" si="9">IF(AND($H94&gt;=$B$1,$B$4=FALSE),NA(),IFERROR(VLOOKUP(H94,$B$29:$F$225,5,FALSE),NA()))</f>
        <v>-48.395910894780272</v>
      </c>
      <c r="N94" s="39">
        <f t="shared" ref="N94:N127" si="10">IF(_xlfn.IFNA(K94,0)=0,0,SQRT((K94-K93)^2+(L94-L93)^2))</f>
        <v>17.020366394188244</v>
      </c>
    </row>
    <row r="95" spans="2:14">
      <c r="B95" s="20" t="str">
        <f t="shared" ref="B95:B127" si="11">IF(C95="","",B94+1)</f>
        <v/>
      </c>
      <c r="C95" s="88" t="str">
        <f>IF(AND('CALCOLO ROTTA 1'!I205&lt;0,'CALCOLO ROTTA 1'!I206&lt;0),"",'CALCOLO ROTTA 1'!F206)</f>
        <v/>
      </c>
      <c r="D95" s="88" t="str">
        <f>IF(AND('CALCOLO ROTTA 1'!I205&lt;0,'CALCOLO ROTTA 1'!I206&lt;0),"",'CALCOLO ROTTA 1'!G206)</f>
        <v/>
      </c>
      <c r="E95" s="83" t="e">
        <f>IFERROR('CALCOLO ROTTA 1'!Q206,NA())</f>
        <v>#N/A</v>
      </c>
      <c r="F95" s="83" t="e">
        <f>IFERROR('CALCOLO ROTTA 1'!R206,NA())</f>
        <v>#N/A</v>
      </c>
      <c r="H95" s="20">
        <v>67</v>
      </c>
      <c r="I95" s="14">
        <f t="shared" si="6"/>
        <v>45.863531357499681</v>
      </c>
      <c r="J95" s="14">
        <f t="shared" si="7"/>
        <v>10.77295233274377</v>
      </c>
      <c r="K95" s="20">
        <f t="shared" si="8"/>
        <v>376.49483844915915</v>
      </c>
      <c r="L95" s="20">
        <f t="shared" si="9"/>
        <v>59.800282715048475</v>
      </c>
      <c r="N95" s="39">
        <f t="shared" si="10"/>
        <v>127.43318424668342</v>
      </c>
    </row>
    <row r="96" spans="2:14">
      <c r="B96" s="20" t="str">
        <f t="shared" si="11"/>
        <v/>
      </c>
      <c r="C96" s="88" t="str">
        <f>IF(AND('CALCOLO ROTTA 1'!I207&lt;0,'CALCOLO ROTTA 1'!I208&lt;0),"",'CALCOLO ROTTA 1'!F207)</f>
        <v/>
      </c>
      <c r="D96" s="88" t="str">
        <f>IF(AND('CALCOLO ROTTA 1'!I207&lt;0,'CALCOLO ROTTA 1'!I208&lt;0),"",'CALCOLO ROTTA 1'!G207)</f>
        <v/>
      </c>
      <c r="E96" s="83" t="e">
        <f>IFERROR('CALCOLO ROTTA 1'!Q207,NA())</f>
        <v>#N/A</v>
      </c>
      <c r="F96" s="83" t="e">
        <f>IFERROR('CALCOLO ROTTA 1'!R207,NA())</f>
        <v>#N/A</v>
      </c>
      <c r="H96" s="20">
        <v>68</v>
      </c>
      <c r="I96" s="14">
        <f t="shared" si="6"/>
        <v>45.863419667027614</v>
      </c>
      <c r="J96" s="14">
        <f t="shared" si="7"/>
        <v>10.773111034802509</v>
      </c>
      <c r="K96" s="20">
        <f t="shared" si="8"/>
        <v>388.78751108673447</v>
      </c>
      <c r="L96" s="20">
        <f t="shared" si="9"/>
        <v>47.37736646958119</v>
      </c>
      <c r="N96" s="39">
        <f t="shared" si="10"/>
        <v>17.476803157799999</v>
      </c>
    </row>
    <row r="97" spans="2:14">
      <c r="B97" s="20" t="str">
        <f t="shared" si="11"/>
        <v/>
      </c>
      <c r="C97" s="88" t="str">
        <f>IF(AND('CALCOLO ROTTA 1'!I207&lt;0,'CALCOLO ROTTA 1'!I208&lt;0),"",'CALCOLO ROTTA 1'!F208)</f>
        <v/>
      </c>
      <c r="D97" s="88" t="str">
        <f>IF(AND('CALCOLO ROTTA 1'!I207&lt;0,'CALCOLO ROTTA 1'!I208&lt;0),"",'CALCOLO ROTTA 1'!G208)</f>
        <v/>
      </c>
      <c r="E97" s="83" t="e">
        <f>IFERROR('CALCOLO ROTTA 1'!Q208,NA())</f>
        <v>#N/A</v>
      </c>
      <c r="F97" s="83" t="e">
        <f>IFERROR('CALCOLO ROTTA 1'!R208,NA())</f>
        <v>#N/A</v>
      </c>
      <c r="H97" s="20">
        <v>69</v>
      </c>
      <c r="I97" s="14">
        <f t="shared" si="6"/>
        <v>45.862484184068876</v>
      </c>
      <c r="J97" s="14">
        <f t="shared" si="7"/>
        <v>10.772275077100259</v>
      </c>
      <c r="K97" s="20">
        <f t="shared" si="8"/>
        <v>324.04103672454056</v>
      </c>
      <c r="L97" s="20">
        <f t="shared" si="9"/>
        <v>-56.67294027480736</v>
      </c>
      <c r="N97" s="39">
        <f t="shared" si="10"/>
        <v>122.55028468320904</v>
      </c>
    </row>
    <row r="98" spans="2:14">
      <c r="B98" s="20" t="str">
        <f t="shared" si="11"/>
        <v/>
      </c>
      <c r="C98" s="88" t="str">
        <f>IF(AND('CALCOLO ROTTA 1'!I209&lt;0,'CALCOLO ROTTA 1'!I210&lt;0),"",'CALCOLO ROTTA 1'!F209)</f>
        <v/>
      </c>
      <c r="D98" s="88" t="str">
        <f>IF(AND('CALCOLO ROTTA 1'!I209&lt;0,'CALCOLO ROTTA 1'!I210&lt;0),"",'CALCOLO ROTTA 1'!G209)</f>
        <v/>
      </c>
      <c r="E98" s="83" t="e">
        <f>IFERROR('CALCOLO ROTTA 1'!Q209,NA())</f>
        <v>#N/A</v>
      </c>
      <c r="F98" s="83" t="e">
        <f>IFERROR('CALCOLO ROTTA 1'!R209,NA())</f>
        <v>#N/A</v>
      </c>
      <c r="H98" s="20">
        <v>70</v>
      </c>
      <c r="I98" s="14">
        <f t="shared" si="6"/>
        <v>45.862409767635711</v>
      </c>
      <c r="J98" s="14">
        <f t="shared" si="7"/>
        <v>10.772467083787323</v>
      </c>
      <c r="K98" s="20">
        <f t="shared" si="8"/>
        <v>338.91330958482496</v>
      </c>
      <c r="L98" s="20">
        <f t="shared" si="9"/>
        <v>-64.950009732167899</v>
      </c>
      <c r="N98" s="39">
        <f t="shared" si="10"/>
        <v>17.020410654056576</v>
      </c>
    </row>
    <row r="99" spans="2:14">
      <c r="B99" s="20" t="str">
        <f t="shared" si="11"/>
        <v/>
      </c>
      <c r="C99" s="88" t="str">
        <f>IF(AND('CALCOLO ROTTA 1'!I209&lt;0,'CALCOLO ROTTA 1'!I210&lt;0),"",'CALCOLO ROTTA 1'!F210)</f>
        <v/>
      </c>
      <c r="D99" s="88" t="str">
        <f>IF(AND('CALCOLO ROTTA 1'!I209&lt;0,'CALCOLO ROTTA 1'!I210&lt;0),"",'CALCOLO ROTTA 1'!G210)</f>
        <v/>
      </c>
      <c r="E99" s="83" t="e">
        <f>IFERROR('CALCOLO ROTTA 1'!Q210,NA())</f>
        <v>#N/A</v>
      </c>
      <c r="F99" s="83" t="e">
        <f>IFERROR('CALCOLO ROTTA 1'!R210,NA())</f>
        <v>#N/A</v>
      </c>
      <c r="H99" s="20">
        <v>71</v>
      </c>
      <c r="I99" s="14">
        <f t="shared" si="6"/>
        <v>45.863307976335868</v>
      </c>
      <c r="J99" s="14">
        <f t="shared" si="7"/>
        <v>10.773269736223572</v>
      </c>
      <c r="K99" s="20">
        <f t="shared" si="8"/>
        <v>401.08012661984003</v>
      </c>
      <c r="L99" s="20">
        <f t="shared" si="9"/>
        <v>34.954422025255703</v>
      </c>
      <c r="N99" s="39">
        <f t="shared" si="10"/>
        <v>117.66736431584906</v>
      </c>
    </row>
    <row r="100" spans="2:14">
      <c r="B100" s="20" t="str">
        <f t="shared" si="11"/>
        <v/>
      </c>
      <c r="C100" s="88" t="str">
        <f>IF(AND('CALCOLO ROTTA 1'!I211&lt;0,'CALCOLO ROTTA 1'!I212&lt;0),"",'CALCOLO ROTTA 1'!F211)</f>
        <v/>
      </c>
      <c r="D100" s="88" t="str">
        <f>IF(AND('CALCOLO ROTTA 1'!I211&lt;0,'CALCOLO ROTTA 1'!I212&lt;0),"",'CALCOLO ROTTA 1'!G211)</f>
        <v/>
      </c>
      <c r="E100" s="83" t="e">
        <f>IFERROR('CALCOLO ROTTA 1'!Q211,NA())</f>
        <v>#N/A</v>
      </c>
      <c r="F100" s="83" t="e">
        <f>IFERROR('CALCOLO ROTTA 1'!R211,NA())</f>
        <v>#N/A</v>
      </c>
      <c r="H100" s="20">
        <v>72</v>
      </c>
      <c r="I100" s="14">
        <f t="shared" si="6"/>
        <v>45.863196285424415</v>
      </c>
      <c r="J100" s="14">
        <f t="shared" si="7"/>
        <v>10.773428437006972</v>
      </c>
      <c r="K100" s="20">
        <f t="shared" si="8"/>
        <v>413.37274179596278</v>
      </c>
      <c r="L100" s="20">
        <f t="shared" si="9"/>
        <v>22.53145573382908</v>
      </c>
      <c r="N100" s="39">
        <f t="shared" si="10"/>
        <v>17.476798315085219</v>
      </c>
    </row>
    <row r="101" spans="2:14">
      <c r="B101" s="20" t="str">
        <f t="shared" si="11"/>
        <v/>
      </c>
      <c r="C101" s="88" t="str">
        <f>IF(AND('CALCOLO ROTTA 1'!I211&lt;0,'CALCOLO ROTTA 1'!I212&lt;0),"",'CALCOLO ROTTA 1'!F212)</f>
        <v/>
      </c>
      <c r="D101" s="88" t="str">
        <f>IF(AND('CALCOLO ROTTA 1'!I211&lt;0,'CALCOLO ROTTA 1'!I212&lt;0),"",'CALCOLO ROTTA 1'!G212)</f>
        <v/>
      </c>
      <c r="E101" s="83" t="e">
        <f>IFERROR('CALCOLO ROTTA 1'!Q212,NA())</f>
        <v>#N/A</v>
      </c>
      <c r="F101" s="83" t="e">
        <f>IFERROR('CALCOLO ROTTA 1'!R212,NA())</f>
        <v>#N/A</v>
      </c>
      <c r="H101" s="20">
        <v>73</v>
      </c>
      <c r="I101" s="14">
        <f t="shared" si="6"/>
        <v>45.862335350880947</v>
      </c>
      <c r="J101" s="14">
        <f t="shared" si="7"/>
        <v>10.772659089960381</v>
      </c>
      <c r="K101" s="20">
        <f t="shared" si="8"/>
        <v>353.78553187140778</v>
      </c>
      <c r="L101" s="20">
        <f t="shared" si="9"/>
        <v>-73.227109469315224</v>
      </c>
      <c r="N101" s="39">
        <f t="shared" si="10"/>
        <v>112.78447763924707</v>
      </c>
    </row>
    <row r="102" spans="2:14">
      <c r="B102" s="20" t="str">
        <f t="shared" si="11"/>
        <v/>
      </c>
      <c r="C102" s="88" t="str">
        <f>IF(AND('CALCOLO ROTTA 1'!I213&lt;0,'CALCOLO ROTTA 1'!I214&lt;0),"",'CALCOLO ROTTA 1'!F213)</f>
        <v/>
      </c>
      <c r="D102" s="88" t="str">
        <f>IF(AND('CALCOLO ROTTA 1'!I213&lt;0,'CALCOLO ROTTA 1'!I214&lt;0),"",'CALCOLO ROTTA 1'!G213)</f>
        <v/>
      </c>
      <c r="E102" s="83" t="e">
        <f>IFERROR('CALCOLO ROTTA 1'!Q213,NA())</f>
        <v>#N/A</v>
      </c>
      <c r="F102" s="83" t="e">
        <f>IFERROR('CALCOLO ROTTA 1'!R213,NA())</f>
        <v>#N/A</v>
      </c>
      <c r="H102" s="20">
        <v>74</v>
      </c>
      <c r="I102" s="14">
        <f t="shared" si="6"/>
        <v>45.862260933804627</v>
      </c>
      <c r="J102" s="14">
        <f t="shared" si="7"/>
        <v>10.772851095619433</v>
      </c>
      <c r="K102" s="20">
        <f t="shared" si="8"/>
        <v>368.65773109349635</v>
      </c>
      <c r="L102" s="20">
        <f t="shared" si="9"/>
        <v>-81.504244164555928</v>
      </c>
      <c r="N102" s="39">
        <f t="shared" si="10"/>
        <v>17.020378035303718</v>
      </c>
    </row>
    <row r="103" spans="2:14">
      <c r="B103" s="20" t="str">
        <f t="shared" si="11"/>
        <v/>
      </c>
      <c r="C103" s="88" t="str">
        <f>IF(AND('CALCOLO ROTTA 1'!I213&lt;0,'CALCOLO ROTTA 1'!I214&lt;0),"",'CALCOLO ROTTA 1'!F214)</f>
        <v/>
      </c>
      <c r="D103" s="88" t="str">
        <f>IF(AND('CALCOLO ROTTA 1'!I213&lt;0,'CALCOLO ROTTA 1'!I214&lt;0),"",'CALCOLO ROTTA 1'!G214)</f>
        <v/>
      </c>
      <c r="E103" s="83" t="e">
        <f>IFERROR('CALCOLO ROTTA 1'!Q214,NA())</f>
        <v>#N/A</v>
      </c>
      <c r="F103" s="83" t="e">
        <f>IFERROR('CALCOLO ROTTA 1'!R214,NA())</f>
        <v>#N/A</v>
      </c>
      <c r="H103" s="20">
        <v>75</v>
      </c>
      <c r="I103" s="14">
        <f t="shared" si="6"/>
        <v>45.863084594293284</v>
      </c>
      <c r="J103" s="14">
        <f t="shared" si="7"/>
        <v>10.773587137152704</v>
      </c>
      <c r="K103" s="20">
        <f t="shared" si="8"/>
        <v>425.66533361413826</v>
      </c>
      <c r="L103" s="20">
        <f t="shared" si="9"/>
        <v>10.108464695029205</v>
      </c>
      <c r="N103" s="39">
        <f t="shared" si="10"/>
        <v>107.90159947722093</v>
      </c>
    </row>
    <row r="104" spans="2:14">
      <c r="B104" s="20" t="str">
        <f t="shared" si="11"/>
        <v/>
      </c>
      <c r="C104" s="88" t="str">
        <f>IF(AND('CALCOLO ROTTA 1'!I215&lt;0,'CALCOLO ROTTA 1'!I216&lt;0),"",'CALCOLO ROTTA 1'!F215)</f>
        <v/>
      </c>
      <c r="D104" s="88" t="str">
        <f>IF(AND('CALCOLO ROTTA 1'!I215&lt;0,'CALCOLO ROTTA 1'!I216&lt;0),"",'CALCOLO ROTTA 1'!G215)</f>
        <v/>
      </c>
      <c r="E104" s="83" t="e">
        <f>IFERROR('CALCOLO ROTTA 1'!Q215,NA())</f>
        <v>#N/A</v>
      </c>
      <c r="F104" s="83" t="e">
        <f>IFERROR('CALCOLO ROTTA 1'!R215,NA())</f>
        <v>#N/A</v>
      </c>
      <c r="H104" s="20">
        <v>76</v>
      </c>
      <c r="I104" s="14">
        <f t="shared" si="6"/>
        <v>45.86297290294246</v>
      </c>
      <c r="J104" s="14">
        <f t="shared" si="7"/>
        <v>10.773745836660781</v>
      </c>
      <c r="K104" s="20">
        <f t="shared" si="8"/>
        <v>437.95789164173453</v>
      </c>
      <c r="L104" s="20">
        <f t="shared" si="9"/>
        <v>-2.3145511253010858</v>
      </c>
      <c r="N104" s="39">
        <f t="shared" si="10"/>
        <v>17.476793325264172</v>
      </c>
    </row>
    <row r="105" spans="2:14">
      <c r="B105" s="20" t="str">
        <f t="shared" si="11"/>
        <v/>
      </c>
      <c r="C105" s="88" t="str">
        <f>IF(AND('CALCOLO ROTTA 1'!I215&lt;0,'CALCOLO ROTTA 1'!I216&lt;0),"",'CALCOLO ROTTA 1'!F216)</f>
        <v/>
      </c>
      <c r="D105" s="88" t="str">
        <f>IF(AND('CALCOLO ROTTA 1'!I215&lt;0,'CALCOLO ROTTA 1'!I216&lt;0),"",'CALCOLO ROTTA 1'!G216)</f>
        <v/>
      </c>
      <c r="E105" s="83" t="e">
        <f>IFERROR('CALCOLO ROTTA 1'!Q216,NA())</f>
        <v>#N/A</v>
      </c>
      <c r="F105" s="83" t="e">
        <f>IFERROR('CALCOLO ROTTA 1'!R216,NA())</f>
        <v>#N/A</v>
      </c>
      <c r="H105" s="20">
        <v>77</v>
      </c>
      <c r="I105" s="14">
        <f t="shared" si="6"/>
        <v>45.862186516406716</v>
      </c>
      <c r="J105" s="14">
        <f t="shared" si="7"/>
        <v>10.773043100764479</v>
      </c>
      <c r="K105" s="20">
        <f t="shared" si="8"/>
        <v>383.52990767188953</v>
      </c>
      <c r="L105" s="20">
        <f t="shared" si="9"/>
        <v>-89.781413806715165</v>
      </c>
      <c r="N105" s="39">
        <f t="shared" si="10"/>
        <v>103.01872405709096</v>
      </c>
    </row>
    <row r="106" spans="2:14">
      <c r="B106" s="20" t="str">
        <f t="shared" si="11"/>
        <v/>
      </c>
      <c r="C106" s="88" t="str">
        <f>IF(AND('CALCOLO ROTTA 1'!I217&lt;0,'CALCOLO ROTTA 1'!I218&lt;0),"",'CALCOLO ROTTA 1'!F217)</f>
        <v/>
      </c>
      <c r="D106" s="88" t="str">
        <f>IF(AND('CALCOLO ROTTA 1'!I217&lt;0,'CALCOLO ROTTA 1'!I218&lt;0),"",'CALCOLO ROTTA 1'!G217)</f>
        <v/>
      </c>
      <c r="E106" s="83" t="e">
        <f>IFERROR('CALCOLO ROTTA 1'!Q217,NA())</f>
        <v>#N/A</v>
      </c>
      <c r="F106" s="83" t="e">
        <f>IFERROR('CALCOLO ROTTA 1'!R217,NA())</f>
        <v>#N/A</v>
      </c>
      <c r="H106" s="20">
        <v>78</v>
      </c>
      <c r="I106" s="14">
        <f t="shared" si="6"/>
        <v>45.862112098687255</v>
      </c>
      <c r="J106" s="14">
        <f t="shared" si="7"/>
        <v>10.77323510539552</v>
      </c>
      <c r="K106" s="20">
        <f t="shared" si="8"/>
        <v>398.40208330669554</v>
      </c>
      <c r="L106" s="20">
        <f t="shared" si="9"/>
        <v>-98.058623654858906</v>
      </c>
      <c r="N106" s="39">
        <f t="shared" si="10"/>
        <v>17.02039397260608</v>
      </c>
    </row>
    <row r="107" spans="2:14">
      <c r="B107" s="20" t="str">
        <f t="shared" si="11"/>
        <v/>
      </c>
      <c r="C107" s="88" t="str">
        <f>IF(AND('CALCOLO ROTTA 1'!I217&lt;0,'CALCOLO ROTTA 1'!I218&lt;0),"",'CALCOLO ROTTA 1'!F218)</f>
        <v/>
      </c>
      <c r="D107" s="88" t="str">
        <f>IF(AND('CALCOLO ROTTA 1'!I217&lt;0,'CALCOLO ROTTA 1'!I218&lt;0),"",'CALCOLO ROTTA 1'!G218)</f>
        <v/>
      </c>
      <c r="E107" s="83" t="e">
        <f>IFERROR('CALCOLO ROTTA 1'!Q218,NA())</f>
        <v>#N/A</v>
      </c>
      <c r="F107" s="83" t="e">
        <f>IFERROR('CALCOLO ROTTA 1'!R218,NA())</f>
        <v>#N/A</v>
      </c>
      <c r="H107" s="20">
        <v>79</v>
      </c>
      <c r="I107" s="14">
        <f t="shared" si="6"/>
        <v>45.86286121137195</v>
      </c>
      <c r="J107" s="14">
        <f t="shared" si="7"/>
        <v>10.7739045355312</v>
      </c>
      <c r="K107" s="20">
        <f t="shared" si="8"/>
        <v>450.2504266232603</v>
      </c>
      <c r="L107" s="20">
        <f t="shared" si="9"/>
        <v>-14.737591298548219</v>
      </c>
      <c r="N107" s="39">
        <f t="shared" si="10"/>
        <v>98.135850419679642</v>
      </c>
    </row>
    <row r="108" spans="2:14">
      <c r="B108" s="20" t="str">
        <f t="shared" si="11"/>
        <v/>
      </c>
      <c r="C108" s="88" t="str">
        <f>IF(AND('CALCOLO ROTTA 1'!I219&lt;0,'CALCOLO ROTTA 1'!I220&lt;0),"",'CALCOLO ROTTA 1'!F219)</f>
        <v/>
      </c>
      <c r="D108" s="88" t="str">
        <f>IF(AND('CALCOLO ROTTA 1'!I219&lt;0,'CALCOLO ROTTA 1'!I220&lt;0),"",'CALCOLO ROTTA 1'!G219)</f>
        <v/>
      </c>
      <c r="E108" s="83" t="e">
        <f>IFERROR('CALCOLO ROTTA 1'!Q219,NA())</f>
        <v>#N/A</v>
      </c>
      <c r="F108" s="83" t="e">
        <f>IFERROR('CALCOLO ROTTA 1'!R219,NA())</f>
        <v>#N/A</v>
      </c>
      <c r="H108" s="20">
        <v>80</v>
      </c>
      <c r="I108" s="14">
        <f t="shared" si="6"/>
        <v>45.862510330540275</v>
      </c>
      <c r="J108" s="14">
        <f t="shared" si="7"/>
        <v>10.773849557913914</v>
      </c>
      <c r="K108" s="20">
        <f t="shared" si="8"/>
        <v>445.99351300232848</v>
      </c>
      <c r="L108" s="20">
        <f t="shared" si="9"/>
        <v>-53.764767641455457</v>
      </c>
      <c r="N108" s="39">
        <f t="shared" si="10"/>
        <v>39.258652637048733</v>
      </c>
    </row>
    <row r="109" spans="2:14">
      <c r="B109" s="20" t="str">
        <f t="shared" si="11"/>
        <v/>
      </c>
      <c r="C109" s="88" t="str">
        <f>IF(AND('CALCOLO ROTTA 1'!I219&lt;0,'CALCOLO ROTTA 1'!I220&lt;0),"",'CALCOLO ROTTA 1'!F220)</f>
        <v/>
      </c>
      <c r="D109" s="88" t="str">
        <f>IF(AND('CALCOLO ROTTA 1'!I219&lt;0,'CALCOLO ROTTA 1'!I220&lt;0),"",'CALCOLO ROTTA 1'!G220)</f>
        <v/>
      </c>
      <c r="E109" s="83" t="e">
        <f>IFERROR('CALCOLO ROTTA 1'!Q220,NA())</f>
        <v>#N/A</v>
      </c>
      <c r="F109" s="83" t="e">
        <f>IFERROR('CALCOLO ROTTA 1'!R220,NA())</f>
        <v>#N/A</v>
      </c>
      <c r="H109" s="20">
        <v>81</v>
      </c>
      <c r="I109" s="14">
        <f t="shared" si="6"/>
        <v>45.862037680646218</v>
      </c>
      <c r="J109" s="14">
        <f t="shared" si="7"/>
        <v>10.773427109512555</v>
      </c>
      <c r="K109" s="20">
        <f t="shared" si="8"/>
        <v>413.27423520107669</v>
      </c>
      <c r="L109" s="20">
        <f t="shared" si="9"/>
        <v>-106.3358685048895</v>
      </c>
      <c r="N109" s="39">
        <f t="shared" si="10"/>
        <v>61.921496960497038</v>
      </c>
    </row>
    <row r="110" spans="2:14">
      <c r="B110" s="20" t="str">
        <f t="shared" si="11"/>
        <v/>
      </c>
      <c r="C110" s="88" t="str">
        <f>IF(AND('CALCOLO ROTTA 1'!I221&lt;0,'CALCOLO ROTTA 1'!I222&lt;0),"",'CALCOLO ROTTA 1'!F221)</f>
        <v/>
      </c>
      <c r="D110" s="88" t="str">
        <f>IF(AND('CALCOLO ROTTA 1'!I221&lt;0,'CALCOLO ROTTA 1'!I222&lt;0),"",'CALCOLO ROTTA 1'!G221)</f>
        <v/>
      </c>
      <c r="E110" s="83" t="e">
        <f>IFERROR('CALCOLO ROTTA 1'!Q221,NA())</f>
        <v>#N/A</v>
      </c>
      <c r="F110" s="83" t="e">
        <f>IFERROR('CALCOLO ROTTA 1'!R221,NA())</f>
        <v>#N/A</v>
      </c>
      <c r="H110" s="20">
        <v>82</v>
      </c>
      <c r="I110" s="14" t="str">
        <f t="shared" si="6"/>
        <v/>
      </c>
      <c r="J110" s="14" t="str">
        <f t="shared" si="7"/>
        <v/>
      </c>
      <c r="K110" s="20" t="e">
        <f t="shared" si="8"/>
        <v>#N/A</v>
      </c>
      <c r="L110" s="20" t="e">
        <f t="shared" si="9"/>
        <v>#N/A</v>
      </c>
      <c r="N110" s="39">
        <f t="shared" si="10"/>
        <v>0</v>
      </c>
    </row>
    <row r="111" spans="2:14">
      <c r="B111" s="20" t="str">
        <f t="shared" si="11"/>
        <v/>
      </c>
      <c r="C111" s="88" t="str">
        <f>IF(AND('CALCOLO ROTTA 1'!I221&lt;0,'CALCOLO ROTTA 1'!I222&lt;0),"",'CALCOLO ROTTA 1'!F222)</f>
        <v/>
      </c>
      <c r="D111" s="88" t="str">
        <f>IF(AND('CALCOLO ROTTA 1'!I221&lt;0,'CALCOLO ROTTA 1'!I222&lt;0),"",'CALCOLO ROTTA 1'!G222)</f>
        <v/>
      </c>
      <c r="E111" s="83" t="e">
        <f>IFERROR('CALCOLO ROTTA 1'!Q222,NA())</f>
        <v>#N/A</v>
      </c>
      <c r="F111" s="83" t="e">
        <f>IFERROR('CALCOLO ROTTA 1'!R222,NA())</f>
        <v>#N/A</v>
      </c>
      <c r="H111" s="20">
        <v>83</v>
      </c>
      <c r="I111" s="14" t="str">
        <f t="shared" si="6"/>
        <v/>
      </c>
      <c r="J111" s="14" t="str">
        <f t="shared" si="7"/>
        <v/>
      </c>
      <c r="K111" s="20" t="e">
        <f t="shared" si="8"/>
        <v>#N/A</v>
      </c>
      <c r="L111" s="20" t="e">
        <f t="shared" si="9"/>
        <v>#N/A</v>
      </c>
      <c r="N111" s="39">
        <f t="shared" si="10"/>
        <v>0</v>
      </c>
    </row>
    <row r="112" spans="2:14">
      <c r="B112" s="20" t="str">
        <f t="shared" si="11"/>
        <v/>
      </c>
      <c r="C112" s="88" t="str">
        <f>IF(AND('CALCOLO ROTTA 1'!I223&lt;0,'CALCOLO ROTTA 1'!I224&lt;0),"",'CALCOLO ROTTA 1'!F223)</f>
        <v/>
      </c>
      <c r="D112" s="88" t="str">
        <f>IF(AND('CALCOLO ROTTA 1'!I223&lt;0,'CALCOLO ROTTA 1'!I224&lt;0),"",'CALCOLO ROTTA 1'!G223)</f>
        <v/>
      </c>
      <c r="E112" s="83" t="e">
        <f>IFERROR('CALCOLO ROTTA 1'!Q223,NA())</f>
        <v>#N/A</v>
      </c>
      <c r="F112" s="83" t="e">
        <f>IFERROR('CALCOLO ROTTA 1'!R223,NA())</f>
        <v>#N/A</v>
      </c>
      <c r="H112" s="20">
        <v>84</v>
      </c>
      <c r="I112" s="14" t="str">
        <f t="shared" si="6"/>
        <v/>
      </c>
      <c r="J112" s="14" t="str">
        <f t="shared" si="7"/>
        <v/>
      </c>
      <c r="K112" s="20" t="e">
        <f t="shared" si="8"/>
        <v>#N/A</v>
      </c>
      <c r="L112" s="20" t="e">
        <f t="shared" si="9"/>
        <v>#N/A</v>
      </c>
      <c r="N112" s="39">
        <f t="shared" si="10"/>
        <v>0</v>
      </c>
    </row>
    <row r="113" spans="1:14">
      <c r="B113" s="20" t="str">
        <f t="shared" si="11"/>
        <v/>
      </c>
      <c r="C113" s="88" t="str">
        <f>IF(AND('CALCOLO ROTTA 1'!I223&lt;0,'CALCOLO ROTTA 1'!I224&lt;0),"",'CALCOLO ROTTA 1'!F224)</f>
        <v/>
      </c>
      <c r="D113" s="88" t="str">
        <f>IF(AND('CALCOLO ROTTA 1'!I223&lt;0,'CALCOLO ROTTA 1'!I224&lt;0),"",'CALCOLO ROTTA 1'!G224)</f>
        <v/>
      </c>
      <c r="E113" s="83" t="e">
        <f>IFERROR('CALCOLO ROTTA 1'!Q224,NA())</f>
        <v>#N/A</v>
      </c>
      <c r="F113" s="83" t="e">
        <f>IFERROR('CALCOLO ROTTA 1'!R224,NA())</f>
        <v>#N/A</v>
      </c>
      <c r="H113" s="20">
        <v>85</v>
      </c>
      <c r="I113" s="14" t="str">
        <f t="shared" si="6"/>
        <v/>
      </c>
      <c r="J113" s="14" t="str">
        <f t="shared" si="7"/>
        <v/>
      </c>
      <c r="K113" s="20" t="e">
        <f t="shared" si="8"/>
        <v>#N/A</v>
      </c>
      <c r="L113" s="20" t="e">
        <f t="shared" si="9"/>
        <v>#N/A</v>
      </c>
      <c r="N113" s="39">
        <f t="shared" si="10"/>
        <v>0</v>
      </c>
    </row>
    <row r="114" spans="1:14">
      <c r="B114" s="20" t="str">
        <f t="shared" si="11"/>
        <v/>
      </c>
      <c r="C114" s="88" t="str">
        <f>IF(AND('CALCOLO ROTTA 1'!I225&lt;0,'CALCOLO ROTTA 1'!I226&lt;0),"",'CALCOLO ROTTA 1'!F225)</f>
        <v/>
      </c>
      <c r="D114" s="88" t="str">
        <f>IF(AND('CALCOLO ROTTA 1'!I225&lt;0,'CALCOLO ROTTA 1'!I226&lt;0),"",'CALCOLO ROTTA 1'!G225)</f>
        <v/>
      </c>
      <c r="E114" s="83" t="e">
        <f>IFERROR('CALCOLO ROTTA 1'!Q225,NA())</f>
        <v>#N/A</v>
      </c>
      <c r="F114" s="83" t="e">
        <f>IFERROR('CALCOLO ROTTA 1'!R225,NA())</f>
        <v>#N/A</v>
      </c>
      <c r="H114" s="20">
        <v>86</v>
      </c>
      <c r="I114" s="14" t="str">
        <f t="shared" si="6"/>
        <v/>
      </c>
      <c r="J114" s="14" t="str">
        <f t="shared" si="7"/>
        <v/>
      </c>
      <c r="K114" s="20" t="e">
        <f t="shared" si="8"/>
        <v>#N/A</v>
      </c>
      <c r="L114" s="20" t="e">
        <f t="shared" si="9"/>
        <v>#N/A</v>
      </c>
      <c r="N114" s="39">
        <f t="shared" si="10"/>
        <v>0</v>
      </c>
    </row>
    <row r="115" spans="1:14">
      <c r="B115" s="20" t="str">
        <f t="shared" si="11"/>
        <v/>
      </c>
      <c r="C115" s="88" t="str">
        <f>IF(AND('CALCOLO ROTTA 1'!I225&lt;0,'CALCOLO ROTTA 1'!I226&lt;0),"",'CALCOLO ROTTA 1'!F226)</f>
        <v/>
      </c>
      <c r="D115" s="88" t="str">
        <f>IF(AND('CALCOLO ROTTA 1'!I225&lt;0,'CALCOLO ROTTA 1'!I226&lt;0),"",'CALCOLO ROTTA 1'!G226)</f>
        <v/>
      </c>
      <c r="E115" s="83" t="e">
        <f>IFERROR('CALCOLO ROTTA 1'!Q226,NA())</f>
        <v>#N/A</v>
      </c>
      <c r="F115" s="83" t="e">
        <f>IFERROR('CALCOLO ROTTA 1'!R226,NA())</f>
        <v>#N/A</v>
      </c>
      <c r="H115" s="20">
        <v>87</v>
      </c>
      <c r="I115" s="14" t="str">
        <f t="shared" si="6"/>
        <v/>
      </c>
      <c r="J115" s="14" t="str">
        <f t="shared" si="7"/>
        <v/>
      </c>
      <c r="K115" s="20" t="e">
        <f t="shared" si="8"/>
        <v>#N/A</v>
      </c>
      <c r="L115" s="20" t="e">
        <f t="shared" si="9"/>
        <v>#N/A</v>
      </c>
      <c r="N115" s="39">
        <f t="shared" si="10"/>
        <v>0</v>
      </c>
    </row>
    <row r="116" spans="1:14">
      <c r="B116" s="20" t="str">
        <f t="shared" si="11"/>
        <v/>
      </c>
      <c r="C116" s="88" t="str">
        <f>IF(AND('CALCOLO ROTTA 1'!I227&lt;0,'CALCOLO ROTTA 1'!I228&lt;0),"",'CALCOLO ROTTA 1'!F227)</f>
        <v/>
      </c>
      <c r="D116" s="88" t="str">
        <f>IF(AND('CALCOLO ROTTA 1'!I227&lt;0,'CALCOLO ROTTA 1'!I228&lt;0),"",'CALCOLO ROTTA 1'!G227)</f>
        <v/>
      </c>
      <c r="E116" s="83" t="e">
        <f>IFERROR('CALCOLO ROTTA 1'!Q227,NA())</f>
        <v>#N/A</v>
      </c>
      <c r="F116" s="83" t="e">
        <f>IFERROR('CALCOLO ROTTA 1'!R227,NA())</f>
        <v>#N/A</v>
      </c>
      <c r="H116" s="20">
        <v>88</v>
      </c>
      <c r="I116" s="14" t="str">
        <f t="shared" si="6"/>
        <v/>
      </c>
      <c r="J116" s="14" t="str">
        <f t="shared" si="7"/>
        <v/>
      </c>
      <c r="K116" s="20" t="e">
        <f t="shared" si="8"/>
        <v>#N/A</v>
      </c>
      <c r="L116" s="20" t="e">
        <f t="shared" si="9"/>
        <v>#N/A</v>
      </c>
      <c r="N116" s="39">
        <f t="shared" si="10"/>
        <v>0</v>
      </c>
    </row>
    <row r="117" spans="1:14">
      <c r="B117" s="20" t="str">
        <f t="shared" si="11"/>
        <v/>
      </c>
      <c r="C117" s="88" t="str">
        <f>IF(AND('CALCOLO ROTTA 1'!I227&lt;0,'CALCOLO ROTTA 1'!I228&lt;0),"",'CALCOLO ROTTA 1'!F228)</f>
        <v/>
      </c>
      <c r="D117" s="88" t="str">
        <f>IF(AND('CALCOLO ROTTA 1'!I227&lt;0,'CALCOLO ROTTA 1'!I228&lt;0),"",'CALCOLO ROTTA 1'!G228)</f>
        <v/>
      </c>
      <c r="E117" s="83" t="e">
        <f>IFERROR('CALCOLO ROTTA 1'!Q228,NA())</f>
        <v>#N/A</v>
      </c>
      <c r="F117" s="83" t="e">
        <f>IFERROR('CALCOLO ROTTA 1'!R228,NA())</f>
        <v>#N/A</v>
      </c>
      <c r="H117" s="20">
        <v>89</v>
      </c>
      <c r="I117" s="14" t="str">
        <f t="shared" si="6"/>
        <v/>
      </c>
      <c r="J117" s="14" t="str">
        <f t="shared" si="7"/>
        <v/>
      </c>
      <c r="K117" s="20" t="e">
        <f t="shared" si="8"/>
        <v>#N/A</v>
      </c>
      <c r="L117" s="20" t="e">
        <f t="shared" si="9"/>
        <v>#N/A</v>
      </c>
      <c r="N117" s="39">
        <f t="shared" si="10"/>
        <v>0</v>
      </c>
    </row>
    <row r="118" spans="1:14">
      <c r="B118" s="20" t="str">
        <f t="shared" si="11"/>
        <v/>
      </c>
      <c r="C118" s="88" t="str">
        <f>IF(AND('CALCOLO ROTTA 1'!I229&lt;0,'CALCOLO ROTTA 1'!I230&lt;0),"",'CALCOLO ROTTA 1'!F229)</f>
        <v/>
      </c>
      <c r="D118" s="88" t="str">
        <f>IF(AND('CALCOLO ROTTA 1'!I229&lt;0,'CALCOLO ROTTA 1'!I230&lt;0),"",'CALCOLO ROTTA 1'!G229)</f>
        <v/>
      </c>
      <c r="E118" s="83" t="e">
        <f>IFERROR('CALCOLO ROTTA 1'!Q229,NA())</f>
        <v>#N/A</v>
      </c>
      <c r="F118" s="83" t="e">
        <f>IFERROR('CALCOLO ROTTA 1'!R229,NA())</f>
        <v>#N/A</v>
      </c>
      <c r="H118" s="20">
        <v>90</v>
      </c>
      <c r="I118" s="14" t="str">
        <f t="shared" si="6"/>
        <v/>
      </c>
      <c r="J118" s="14" t="str">
        <f t="shared" si="7"/>
        <v/>
      </c>
      <c r="K118" s="20" t="e">
        <f t="shared" si="8"/>
        <v>#N/A</v>
      </c>
      <c r="L118" s="20" t="e">
        <f t="shared" si="9"/>
        <v>#N/A</v>
      </c>
      <c r="N118" s="39">
        <f t="shared" si="10"/>
        <v>0</v>
      </c>
    </row>
    <row r="119" spans="1:14">
      <c r="B119" s="20" t="str">
        <f t="shared" si="11"/>
        <v/>
      </c>
      <c r="C119" s="88" t="str">
        <f>IF(AND('CALCOLO ROTTA 1'!I229&lt;0,'CALCOLO ROTTA 1'!I230&lt;0),"",'CALCOLO ROTTA 1'!F230)</f>
        <v/>
      </c>
      <c r="D119" s="88" t="str">
        <f>IF(AND('CALCOLO ROTTA 1'!I229&lt;0,'CALCOLO ROTTA 1'!I230&lt;0),"",'CALCOLO ROTTA 1'!G230)</f>
        <v/>
      </c>
      <c r="E119" s="83" t="e">
        <f>IFERROR('CALCOLO ROTTA 1'!Q230,NA())</f>
        <v>#N/A</v>
      </c>
      <c r="F119" s="83" t="e">
        <f>IFERROR('CALCOLO ROTTA 1'!R230,NA())</f>
        <v>#N/A</v>
      </c>
      <c r="H119" s="20">
        <v>91</v>
      </c>
      <c r="I119" s="14" t="str">
        <f t="shared" si="6"/>
        <v/>
      </c>
      <c r="J119" s="14" t="str">
        <f t="shared" si="7"/>
        <v/>
      </c>
      <c r="K119" s="20" t="e">
        <f t="shared" si="8"/>
        <v>#N/A</v>
      </c>
      <c r="L119" s="20" t="e">
        <f t="shared" si="9"/>
        <v>#N/A</v>
      </c>
      <c r="N119" s="39">
        <f t="shared" si="10"/>
        <v>0</v>
      </c>
    </row>
    <row r="120" spans="1:14">
      <c r="B120" s="20" t="str">
        <f t="shared" si="11"/>
        <v/>
      </c>
      <c r="C120" s="88" t="str">
        <f>IF(AND('CALCOLO ROTTA 1'!I231&lt;0,'CALCOLO ROTTA 1'!I232&lt;0),"",'CALCOLO ROTTA 1'!F231)</f>
        <v/>
      </c>
      <c r="D120" s="88" t="str">
        <f>IF(AND('CALCOLO ROTTA 1'!I231&lt;0,'CALCOLO ROTTA 1'!I232&lt;0),"",'CALCOLO ROTTA 1'!G231)</f>
        <v/>
      </c>
      <c r="E120" s="83" t="e">
        <f>IFERROR('CALCOLO ROTTA 1'!Q231,NA())</f>
        <v>#N/A</v>
      </c>
      <c r="F120" s="83" t="e">
        <f>IFERROR('CALCOLO ROTTA 1'!R231,NA())</f>
        <v>#N/A</v>
      </c>
      <c r="H120" s="20">
        <v>92</v>
      </c>
      <c r="I120" s="14" t="str">
        <f t="shared" si="6"/>
        <v/>
      </c>
      <c r="J120" s="14" t="str">
        <f t="shared" si="7"/>
        <v/>
      </c>
      <c r="K120" s="20" t="e">
        <f t="shared" si="8"/>
        <v>#N/A</v>
      </c>
      <c r="L120" s="20" t="e">
        <f t="shared" si="9"/>
        <v>#N/A</v>
      </c>
      <c r="N120" s="39">
        <f t="shared" si="10"/>
        <v>0</v>
      </c>
    </row>
    <row r="121" spans="1:14">
      <c r="B121" s="20" t="str">
        <f t="shared" si="11"/>
        <v/>
      </c>
      <c r="C121" s="88" t="str">
        <f>IF(AND('CALCOLO ROTTA 1'!I231&lt;0,'CALCOLO ROTTA 1'!I232&lt;0),"",'CALCOLO ROTTA 1'!F232)</f>
        <v/>
      </c>
      <c r="D121" s="88" t="str">
        <f>IF(AND('CALCOLO ROTTA 1'!I231&lt;0,'CALCOLO ROTTA 1'!I232&lt;0),"",'CALCOLO ROTTA 1'!G232)</f>
        <v/>
      </c>
      <c r="E121" s="83" t="e">
        <f>IFERROR('CALCOLO ROTTA 1'!Q232,NA())</f>
        <v>#N/A</v>
      </c>
      <c r="F121" s="83" t="e">
        <f>IFERROR('CALCOLO ROTTA 1'!R232,NA())</f>
        <v>#N/A</v>
      </c>
      <c r="H121" s="20">
        <v>93</v>
      </c>
      <c r="I121" s="14" t="str">
        <f t="shared" si="6"/>
        <v/>
      </c>
      <c r="J121" s="14" t="str">
        <f t="shared" si="7"/>
        <v/>
      </c>
      <c r="K121" s="20" t="e">
        <f t="shared" si="8"/>
        <v>#N/A</v>
      </c>
      <c r="L121" s="20" t="e">
        <f t="shared" si="9"/>
        <v>#N/A</v>
      </c>
      <c r="N121" s="39">
        <f t="shared" si="10"/>
        <v>0</v>
      </c>
    </row>
    <row r="122" spans="1:14">
      <c r="B122" s="20" t="str">
        <f t="shared" si="11"/>
        <v/>
      </c>
      <c r="C122" s="88" t="str">
        <f>IF(AND('CALCOLO ROTTA 1'!I233&lt;0,'CALCOLO ROTTA 1'!I234&lt;0),"",'CALCOLO ROTTA 1'!F233)</f>
        <v/>
      </c>
      <c r="D122" s="88" t="str">
        <f>IF(AND('CALCOLO ROTTA 1'!I233&lt;0,'CALCOLO ROTTA 1'!I234&lt;0),"",'CALCOLO ROTTA 1'!G233)</f>
        <v/>
      </c>
      <c r="E122" s="83" t="e">
        <f>IFERROR('CALCOLO ROTTA 1'!Q233,NA())</f>
        <v>#N/A</v>
      </c>
      <c r="F122" s="83" t="e">
        <f>IFERROR('CALCOLO ROTTA 1'!R233,NA())</f>
        <v>#N/A</v>
      </c>
      <c r="H122" s="20">
        <v>94</v>
      </c>
      <c r="I122" s="14" t="str">
        <f t="shared" si="6"/>
        <v/>
      </c>
      <c r="J122" s="14" t="str">
        <f t="shared" si="7"/>
        <v/>
      </c>
      <c r="K122" s="20" t="e">
        <f t="shared" si="8"/>
        <v>#N/A</v>
      </c>
      <c r="L122" s="20" t="e">
        <f t="shared" si="9"/>
        <v>#N/A</v>
      </c>
      <c r="N122" s="39">
        <f t="shared" si="10"/>
        <v>0</v>
      </c>
    </row>
    <row r="123" spans="1:14">
      <c r="B123" s="20" t="str">
        <f t="shared" si="11"/>
        <v/>
      </c>
      <c r="C123" s="88" t="str">
        <f>IF(AND('CALCOLO ROTTA 1'!I233&lt;0,'CALCOLO ROTTA 1'!I234&lt;0),"",'CALCOLO ROTTA 1'!F234)</f>
        <v/>
      </c>
      <c r="D123" s="88" t="str">
        <f>IF(AND('CALCOLO ROTTA 1'!I233&lt;0,'CALCOLO ROTTA 1'!I234&lt;0),"",'CALCOLO ROTTA 1'!G234)</f>
        <v/>
      </c>
      <c r="E123" s="83" t="e">
        <f>IFERROR('CALCOLO ROTTA 1'!Q234,NA())</f>
        <v>#N/A</v>
      </c>
      <c r="F123" s="83" t="e">
        <f>IFERROR('CALCOLO ROTTA 1'!R234,NA())</f>
        <v>#N/A</v>
      </c>
      <c r="H123" s="20">
        <v>95</v>
      </c>
      <c r="I123" s="14" t="str">
        <f t="shared" si="6"/>
        <v/>
      </c>
      <c r="J123" s="14" t="str">
        <f t="shared" si="7"/>
        <v/>
      </c>
      <c r="K123" s="20" t="e">
        <f t="shared" si="8"/>
        <v>#N/A</v>
      </c>
      <c r="L123" s="20" t="e">
        <f t="shared" si="9"/>
        <v>#N/A</v>
      </c>
      <c r="N123" s="39">
        <f t="shared" si="10"/>
        <v>0</v>
      </c>
    </row>
    <row r="124" spans="1:14">
      <c r="B124" s="20" t="str">
        <f t="shared" si="11"/>
        <v/>
      </c>
      <c r="C124" s="88" t="str">
        <f>IF(AND('CALCOLO ROTTA 1'!I235&lt;0,'CALCOLO ROTTA 1'!I236&lt;0),"",'CALCOLO ROTTA 1'!F235)</f>
        <v/>
      </c>
      <c r="D124" s="88" t="str">
        <f>IF(AND('CALCOLO ROTTA 1'!I235&lt;0,'CALCOLO ROTTA 1'!I236&lt;0),"",'CALCOLO ROTTA 1'!G235)</f>
        <v/>
      </c>
      <c r="E124" s="83" t="e">
        <f>IFERROR('CALCOLO ROTTA 1'!Q235,NA())</f>
        <v>#N/A</v>
      </c>
      <c r="F124" s="83" t="e">
        <f>IFERROR('CALCOLO ROTTA 1'!R235,NA())</f>
        <v>#N/A</v>
      </c>
      <c r="H124" s="20">
        <v>96</v>
      </c>
      <c r="I124" s="14" t="str">
        <f t="shared" si="6"/>
        <v/>
      </c>
      <c r="J124" s="14" t="str">
        <f t="shared" si="7"/>
        <v/>
      </c>
      <c r="K124" s="20" t="e">
        <f t="shared" si="8"/>
        <v>#N/A</v>
      </c>
      <c r="L124" s="20" t="e">
        <f t="shared" si="9"/>
        <v>#N/A</v>
      </c>
      <c r="N124" s="39">
        <f t="shared" si="10"/>
        <v>0</v>
      </c>
    </row>
    <row r="125" spans="1:14">
      <c r="B125" s="20" t="str">
        <f t="shared" si="11"/>
        <v/>
      </c>
      <c r="C125" s="88" t="str">
        <f>IF(AND('CALCOLO ROTTA 1'!I235&lt;0,'CALCOLO ROTTA 1'!I236&lt;0),"",'CALCOLO ROTTA 1'!F236)</f>
        <v/>
      </c>
      <c r="D125" s="88" t="str">
        <f>IF(AND('CALCOLO ROTTA 1'!I235&lt;0,'CALCOLO ROTTA 1'!I236&lt;0),"",'CALCOLO ROTTA 1'!G236)</f>
        <v/>
      </c>
      <c r="E125" s="83" t="e">
        <f>IFERROR('CALCOLO ROTTA 1'!Q236,NA())</f>
        <v>#N/A</v>
      </c>
      <c r="F125" s="83" t="e">
        <f>IFERROR('CALCOLO ROTTA 1'!R236,NA())</f>
        <v>#N/A</v>
      </c>
      <c r="H125" s="20">
        <v>97</v>
      </c>
      <c r="I125" s="14" t="str">
        <f t="shared" si="6"/>
        <v/>
      </c>
      <c r="J125" s="14" t="str">
        <f t="shared" si="7"/>
        <v/>
      </c>
      <c r="K125" s="20" t="e">
        <f t="shared" si="8"/>
        <v>#N/A</v>
      </c>
      <c r="L125" s="20" t="e">
        <f t="shared" si="9"/>
        <v>#N/A</v>
      </c>
      <c r="N125" s="39">
        <f t="shared" si="10"/>
        <v>0</v>
      </c>
    </row>
    <row r="126" spans="1:14">
      <c r="B126" s="20" t="str">
        <f t="shared" si="11"/>
        <v/>
      </c>
      <c r="C126" s="88" t="str">
        <f>IF(AND('CALCOLO ROTTA 1'!I237&lt;0,'CALCOLO ROTTA 1'!I238&lt;0),"",'CALCOLO ROTTA 1'!F237)</f>
        <v/>
      </c>
      <c r="D126" s="88" t="str">
        <f>IF(AND('CALCOLO ROTTA 1'!I237&lt;0,'CALCOLO ROTTA 1'!I238&lt;0),"",'CALCOLO ROTTA 1'!G237)</f>
        <v/>
      </c>
      <c r="E126" s="83" t="e">
        <f>IFERROR('CALCOLO ROTTA 1'!Q237,NA())</f>
        <v>#N/A</v>
      </c>
      <c r="F126" s="83" t="e">
        <f>IFERROR('CALCOLO ROTTA 1'!R237,NA())</f>
        <v>#N/A</v>
      </c>
      <c r="H126" s="20">
        <v>98</v>
      </c>
      <c r="I126" s="14" t="str">
        <f t="shared" si="6"/>
        <v/>
      </c>
      <c r="J126" s="14" t="str">
        <f t="shared" si="7"/>
        <v/>
      </c>
      <c r="K126" s="20" t="e">
        <f t="shared" si="8"/>
        <v>#N/A</v>
      </c>
      <c r="L126" s="20" t="e">
        <f t="shared" si="9"/>
        <v>#N/A</v>
      </c>
      <c r="N126" s="39">
        <f t="shared" si="10"/>
        <v>0</v>
      </c>
    </row>
    <row r="127" spans="1:14">
      <c r="B127" s="20" t="str">
        <f t="shared" si="11"/>
        <v/>
      </c>
      <c r="C127" s="88" t="str">
        <f>IF(AND('CALCOLO ROTTA 1'!I237&lt;0,'CALCOLO ROTTA 1'!I238&lt;0),"",'CALCOLO ROTTA 1'!F238)</f>
        <v/>
      </c>
      <c r="D127" s="88" t="str">
        <f>IF(AND('CALCOLO ROTTA 1'!I237&lt;0,'CALCOLO ROTTA 1'!I238&lt;0),"",'CALCOLO ROTTA 1'!G238)</f>
        <v/>
      </c>
      <c r="E127" s="83" t="e">
        <f>IFERROR('CALCOLO ROTTA 1'!Q238,NA())</f>
        <v>#N/A</v>
      </c>
      <c r="F127" s="83" t="e">
        <f>IFERROR('CALCOLO ROTTA 1'!R238,NA())</f>
        <v>#N/A</v>
      </c>
      <c r="H127" s="20">
        <v>99</v>
      </c>
      <c r="I127" s="14" t="str">
        <f t="shared" si="6"/>
        <v/>
      </c>
      <c r="J127" s="14" t="str">
        <f t="shared" si="7"/>
        <v/>
      </c>
      <c r="K127" s="20" t="e">
        <f t="shared" si="8"/>
        <v>#N/A</v>
      </c>
      <c r="L127" s="20" t="e">
        <f t="shared" si="9"/>
        <v>#N/A</v>
      </c>
      <c r="N127" s="39">
        <f t="shared" si="10"/>
        <v>0</v>
      </c>
    </row>
    <row r="128" spans="1:14">
      <c r="A128" s="22" t="s">
        <v>289</v>
      </c>
      <c r="B128" s="20">
        <f>B1</f>
        <v>28</v>
      </c>
      <c r="C128" s="88">
        <f>'CALCOLO ROTTA 2'!F78</f>
        <v>45.865653434725203</v>
      </c>
      <c r="D128" s="88">
        <f>'CALCOLO ROTTA 2'!G78</f>
        <v>10.769936872465202</v>
      </c>
      <c r="E128" s="83">
        <f>IF(AND(B128&gt;=$B$1,$B$4=FALSE),NA(),IFERROR('CALCOLO ROTTA 2'!Q78,NA()))</f>
        <v>142.92962606866806</v>
      </c>
      <c r="F128" s="83">
        <f>IF(AND(B128&gt;=$B$1,$B$4=FALSE),NA(),IFERROR('CALCOLO ROTTA 2'!R78,NA()))</f>
        <v>295.83108650410469</v>
      </c>
    </row>
    <row r="129" spans="2:6">
      <c r="B129" s="20">
        <f>IF(C129="","",B128+1)</f>
        <v>29</v>
      </c>
      <c r="C129" s="88">
        <f>'CALCOLO ROTTA 2'!F79</f>
        <v>45.86397244519911</v>
      </c>
      <c r="D129" s="88">
        <f>'CALCOLO ROTTA 2'!G79</f>
        <v>10.7684348354168</v>
      </c>
      <c r="E129" s="83">
        <f>IF(AND(B129&gt;=$B$1,$B$4=FALSE),NA(),IFERROR('CALCOLO ROTTA 2'!Q79,NA()))</f>
        <v>26.59196087443507</v>
      </c>
      <c r="F129" s="83">
        <f>IF(AND(B129&gt;=$B$1,$B$4=FALSE),NA(),IFERROR('CALCOLO ROTTA 2'!R79,NA()))</f>
        <v>108.8608398244336</v>
      </c>
    </row>
    <row r="130" spans="2:6">
      <c r="B130" s="20">
        <f t="shared" ref="B130:B193" si="12">IF(C130="","",B129+1)</f>
        <v>30</v>
      </c>
      <c r="C130" s="88">
        <f>IF(AND('CALCOLO ROTTA 2'!I80&lt;0,'CALCOLO ROTTA 2'!I81&lt;0),"",'CALCOLO ROTTA 2'!F80)</f>
        <v>45.863898035197792</v>
      </c>
      <c r="D130" s="88">
        <f>IF(AND('CALCOLO ROTTA 2'!I80&lt;0,'CALCOLO ROTTA 2'!I81&lt;0),"",'CALCOLO ROTTA 2'!G80)</f>
        <v>10.7686268523841</v>
      </c>
      <c r="E130" s="83">
        <f>IF(AND(B130&gt;=$B$1,$B$4=FALSE),NA(),IFERROR('CALCOLO ROTTA 2'!Q80,NA()))</f>
        <v>41.46460550679204</v>
      </c>
      <c r="F130" s="83">
        <f>IF(AND(B130&gt;=$B$1,$B$4=FALSE),NA(),IFERROR('CALCOLO ROTTA 2'!R80,NA()))</f>
        <v>100.5844911243028</v>
      </c>
    </row>
    <row r="131" spans="2:6">
      <c r="B131" s="20">
        <f t="shared" si="12"/>
        <v>31</v>
      </c>
      <c r="C131" s="88">
        <f>IF(AND('CALCOLO ROTTA 2'!I80&lt;0,'CALCOLO ROTTA 2'!I81&lt;0),"",'CALCOLO ROTTA 2'!F81)</f>
        <v>45.865541748427603</v>
      </c>
      <c r="D131" s="88">
        <f>IF(AND('CALCOLO ROTTA 2'!I80&lt;0,'CALCOLO ROTTA 2'!I81&lt;0),"",'CALCOLO ROTTA 2'!G81)</f>
        <v>10.770095586640412</v>
      </c>
      <c r="E131" s="83">
        <f>IF(AND(B131&gt;=$B$1,$B$4=FALSE),NA(),IFERROR('CALCOLO ROTTA 2'!Q81,NA()))</f>
        <v>155.22275001424822</v>
      </c>
      <c r="F131" s="83">
        <f>IF(AND(B131&gt;=$B$1,$B$4=FALSE),NA(),IFERROR('CALCOLO ROTTA 2'!R81,NA()))</f>
        <v>283.40862404995437</v>
      </c>
    </row>
    <row r="132" spans="2:6">
      <c r="B132" s="20">
        <f t="shared" si="12"/>
        <v>32</v>
      </c>
      <c r="C132" s="88">
        <f>IF(AND('CALCOLO ROTTA 2'!I82&lt;0,'CALCOLO ROTTA 2'!I83&lt;0),"",'CALCOLO ROTTA 2'!F82)</f>
        <v>45.865430061910274</v>
      </c>
      <c r="D132" s="88">
        <f>IF(AND('CALCOLO ROTTA 2'!I82&lt;0,'CALCOLO ROTTA 2'!I83&lt;0),"",'CALCOLO ROTTA 2'!G82)</f>
        <v>10.770254300177879</v>
      </c>
      <c r="E132" s="83">
        <f>IF(AND(B132&gt;=$B$1,$B$4=FALSE),NA(),IFERROR('CALCOLO ROTTA 2'!Q82,NA()))</f>
        <v>167.51585678220124</v>
      </c>
      <c r="F132" s="83">
        <f>IF(AND(B132&gt;=$B$1,$B$4=FALSE),NA(),IFERROR('CALCOLO ROTTA 2'!R82,NA()))</f>
        <v>270.98615127673702</v>
      </c>
    </row>
    <row r="133" spans="2:6">
      <c r="B133" s="20">
        <f t="shared" si="12"/>
        <v>33</v>
      </c>
      <c r="C133" s="88">
        <f>IF(AND('CALCOLO ROTTA 2'!I82&lt;0,'CALCOLO ROTTA 2'!I83&lt;0),"",'CALCOLO ROTTA 2'!F83)</f>
        <v>45.863823624874847</v>
      </c>
      <c r="D133" s="88">
        <f>IF(AND('CALCOLO ROTTA 2'!I82&lt;0,'CALCOLO ROTTA 2'!I83&lt;0),"",'CALCOLO ROTTA 2'!G83)</f>
        <v>10.768818868837386</v>
      </c>
      <c r="E133" s="83">
        <f>IF(AND(B133&gt;=$B$1,$B$4=FALSE),NA(),IFERROR('CALCOLO ROTTA 2'!Q83,NA()))</f>
        <v>56.33724560785403</v>
      </c>
      <c r="F133" s="83">
        <f>IF(AND(B133&gt;=$B$1,$B$4=FALSE),NA(),IFERROR('CALCOLO ROTTA 2'!R83,NA()))</f>
        <v>92.308131366181243</v>
      </c>
    </row>
    <row r="134" spans="2:6">
      <c r="B134" s="20">
        <f t="shared" si="12"/>
        <v>34</v>
      </c>
      <c r="C134" s="88">
        <f>IF(AND('CALCOLO ROTTA 2'!I84&lt;0,'CALCOLO ROTTA 2'!I85&lt;0),"",'CALCOLO ROTTA 2'!F84)</f>
        <v>45.86374921423031</v>
      </c>
      <c r="D134" s="88">
        <f>IF(AND('CALCOLO ROTTA 2'!I84&lt;0,'CALCOLO ROTTA 2'!I85&lt;0),"",'CALCOLO ROTTA 2'!G84)</f>
        <v>10.769010884776655</v>
      </c>
      <c r="E134" s="83">
        <f>IF(AND(B134&gt;=$B$1,$B$4=FALSE),NA(),IFERROR('CALCOLO ROTTA 2'!Q84,NA()))</f>
        <v>71.209838105595523</v>
      </c>
      <c r="F134" s="83">
        <f>IF(AND(B134&gt;=$B$1,$B$4=FALSE),NA(),IFERROR('CALCOLO ROTTA 2'!R84,NA()))</f>
        <v>84.031688877950373</v>
      </c>
    </row>
    <row r="135" spans="2:6">
      <c r="B135" s="20">
        <f t="shared" si="12"/>
        <v>35</v>
      </c>
      <c r="C135" s="88">
        <f>IF(AND('CALCOLO ROTTA 2'!I84&lt;0,'CALCOLO ROTTA 2'!I85&lt;0),"",'CALCOLO ROTTA 2'!F85)</f>
        <v>45.865318375173246</v>
      </c>
      <c r="D135" s="88">
        <f>IF(AND('CALCOLO ROTTA 2'!I84&lt;0,'CALCOLO ROTTA 2'!I85&lt;0),"",'CALCOLO ROTTA 2'!G85)</f>
        <v>10.770413013077606</v>
      </c>
      <c r="E135" s="83">
        <f>IF(AND(B135&gt;=$B$1,$B$4=FALSE),NA(),IFERROR('CALCOLO ROTTA 2'!Q85,NA()))</f>
        <v>179.80893256006013</v>
      </c>
      <c r="F135" s="83">
        <f>IF(AND(B135&gt;=$B$1,$B$4=FALSE),NA(),IFERROR('CALCOLO ROTTA 2'!R85,NA()))</f>
        <v>258.56364387427578</v>
      </c>
    </row>
    <row r="136" spans="2:6">
      <c r="B136" s="20">
        <f t="shared" si="12"/>
        <v>36</v>
      </c>
      <c r="C136" s="88">
        <f>IF(AND('CALCOLO ROTTA 2'!I86&lt;0,'CALCOLO ROTTA 2'!I87&lt;0),"",'CALCOLO ROTTA 2'!F86)</f>
        <v>45.865206688216482</v>
      </c>
      <c r="D136" s="88">
        <f>IF(AND('CALCOLO ROTTA 2'!I86&lt;0,'CALCOLO ROTTA 2'!I87&lt;0),"",'CALCOLO ROTTA 2'!G86)</f>
        <v>10.770571725339599</v>
      </c>
      <c r="E136" s="83">
        <f>IF(AND(B136&gt;=$B$1,$B$4=FALSE),NA(),IFERROR('CALCOLO ROTTA 2'!Q86,NA()))</f>
        <v>192.10198440449278</v>
      </c>
      <c r="F136" s="83">
        <f>IF(AND(B136&gt;=$B$1,$B$4=FALSE),NA(),IFERROR('CALCOLO ROTTA 2'!R86,NA()))</f>
        <v>246.141114056042</v>
      </c>
    </row>
    <row r="137" spans="2:6">
      <c r="B137" s="20">
        <f t="shared" si="12"/>
        <v>37</v>
      </c>
      <c r="C137" s="88">
        <f>IF(AND('CALCOLO ROTTA 2'!I86&lt;0,'CALCOLO ROTTA 2'!I87&lt;0),"",'CALCOLO ROTTA 2'!F87)</f>
        <v>45.863674803264168</v>
      </c>
      <c r="D137" s="88">
        <f>IF(AND('CALCOLO ROTTA 2'!I86&lt;0,'CALCOLO ROTTA 2'!I87&lt;0),"",'CALCOLO ROTTA 2'!G87)</f>
        <v>10.769202900201909</v>
      </c>
      <c r="E137" s="83">
        <f>IF(AND(B137&gt;=$B$1,$B$4=FALSE),NA(),IFERROR('CALCOLO ROTTA 2'!Q87,NA()))</f>
        <v>86.082455978207321</v>
      </c>
      <c r="F137" s="83">
        <f>IF(AND(B137&gt;=$B$1,$B$4=FALSE),NA(),IFERROR('CALCOLO ROTTA 2'!R87,NA()))</f>
        <v>75.755260209978246</v>
      </c>
    </row>
    <row r="138" spans="2:6">
      <c r="B138" s="20">
        <f t="shared" si="12"/>
        <v>38</v>
      </c>
      <c r="C138" s="88">
        <f>IF(AND('CALCOLO ROTTA 2'!I88&lt;0,'CALCOLO ROTTA 2'!I89&lt;0),"",'CALCOLO ROTTA 2'!F88)</f>
        <v>45.863600391976405</v>
      </c>
      <c r="D138" s="88">
        <f>IF(AND('CALCOLO ROTTA 2'!I88&lt;0,'CALCOLO ROTTA 2'!I89&lt;0),"",'CALCOLO ROTTA 2'!G88)</f>
        <v>10.76939491511315</v>
      </c>
      <c r="E138" s="83">
        <f>IF(AND(B138&gt;=$B$1,$B$4=FALSE),NA(),IFERROR('CALCOLO ROTTA 2'!Q88,NA()))</f>
        <v>100.95498561312498</v>
      </c>
      <c r="F138" s="83">
        <f>IF(AND(B138&gt;=$B$1,$B$4=FALSE),NA(),IFERROR('CALCOLO ROTTA 2'!R88,NA()))</f>
        <v>67.478736368757993</v>
      </c>
    </row>
    <row r="139" spans="2:6">
      <c r="B139" s="20">
        <f t="shared" si="12"/>
        <v>39</v>
      </c>
      <c r="C139" s="88">
        <f>IF(AND('CALCOLO ROTTA 2'!I88&lt;0,'CALCOLO ROTTA 2'!I89&lt;0),"",'CALCOLO ROTTA 2'!F89)</f>
        <v>45.86509500103999</v>
      </c>
      <c r="D139" s="88">
        <f>IF(AND('CALCOLO ROTTA 2'!I88&lt;0,'CALCOLO ROTTA 2'!I89&lt;0),"",'CALCOLO ROTTA 2'!G89)</f>
        <v>10.770730436963859</v>
      </c>
      <c r="E139" s="83">
        <f>IF(AND(B139&gt;=$B$1,$B$4=FALSE),NA(),IFERROR('CALCOLO ROTTA 2'!Q89,NA()))</f>
        <v>204.39502222361347</v>
      </c>
      <c r="F139" s="83">
        <f>IF(AND(B139&gt;=$B$1,$B$4=FALSE),NA(),IFERROR('CALCOLO ROTTA 2'!R89,NA()))</f>
        <v>233.71857264763597</v>
      </c>
    </row>
    <row r="140" spans="2:6">
      <c r="B140" s="20">
        <f t="shared" si="12"/>
        <v>40</v>
      </c>
      <c r="C140" s="88">
        <f>IF(AND('CALCOLO ROTTA 2'!I90&lt;0,'CALCOLO ROTTA 2'!I91&lt;0),"",'CALCOLO ROTTA 2'!F90)</f>
        <v>45.864983313643805</v>
      </c>
      <c r="D140" s="88">
        <f>IF(AND('CALCOLO ROTTA 2'!I90&lt;0,'CALCOLO ROTTA 2'!I91&lt;0),"",'CALCOLO ROTTA 2'!G90)</f>
        <v>10.770889147950392</v>
      </c>
      <c r="E140" s="83">
        <f>IF(AND(B140&gt;=$B$1,$B$4=FALSE),NA(),IFERROR('CALCOLO ROTTA 2'!Q90,NA()))</f>
        <v>216.68801766509281</v>
      </c>
      <c r="F140" s="83">
        <f>IF(AND(B140&gt;=$B$1,$B$4=FALSE),NA(),IFERROR('CALCOLO ROTTA 2'!R90,NA()))</f>
        <v>221.29598667526335</v>
      </c>
    </row>
    <row r="141" spans="2:6">
      <c r="B141" s="20">
        <f t="shared" si="12"/>
        <v>41</v>
      </c>
      <c r="C141" s="88">
        <f>IF(AND('CALCOLO ROTTA 2'!I90&lt;0,'CALCOLO ROTTA 2'!I91&lt;0),"",'CALCOLO ROTTA 2'!F91)</f>
        <v>45.863525980367065</v>
      </c>
      <c r="D141" s="88">
        <f>IF(AND('CALCOLO ROTTA 2'!I90&lt;0,'CALCOLO ROTTA 2'!I91&lt;0),"",'CALCOLO ROTTA 2'!G91)</f>
        <v>10.769586929510373</v>
      </c>
      <c r="E141" s="83">
        <f>IF(AND(B141&gt;=$B$1,$B$4=FALSE),NA(),IFERROR('CALCOLO ROTTA 2'!Q91,NA()))</f>
        <v>115.82754602929033</v>
      </c>
      <c r="F141" s="83">
        <f>IF(AND(B141&gt;=$B$1,$B$4=FALSE),NA(),IFERROR('CALCOLO ROTTA 2'!R91,NA()))</f>
        <v>59.202215723143517</v>
      </c>
    </row>
    <row r="142" spans="2:6">
      <c r="B142" s="20">
        <f t="shared" si="12"/>
        <v>42</v>
      </c>
      <c r="C142" s="88">
        <f>IF(AND('CALCOLO ROTTA 2'!I92&lt;0,'CALCOLO ROTTA 2'!I93&lt;0),"",'CALCOLO ROTTA 2'!F92)</f>
        <v>45.863451568436112</v>
      </c>
      <c r="D142" s="88">
        <f>IF(AND('CALCOLO ROTTA 2'!I92&lt;0,'CALCOLO ROTTA 2'!I93&lt;0),"",'CALCOLO ROTTA 2'!G92)</f>
        <v>10.769778943393584</v>
      </c>
      <c r="E142" s="83">
        <f>IF(AND(B142&gt;=$B$1,$B$4=FALSE),NA(),IFERROR('CALCOLO ROTTA 2'!Q92,NA()))</f>
        <v>130.70007648887338</v>
      </c>
      <c r="F142" s="83">
        <f>IF(AND(B142&gt;=$B$1,$B$4=FALSE),NA(),IFERROR('CALCOLO ROTTA 2'!R92,NA()))</f>
        <v>50.925651670255618</v>
      </c>
    </row>
    <row r="143" spans="2:6">
      <c r="B143" s="20">
        <f t="shared" si="12"/>
        <v>43</v>
      </c>
      <c r="C143" s="88">
        <f>IF(AND('CALCOLO ROTTA 2'!I92&lt;0,'CALCOLO ROTTA 2'!I93&lt;0),"",'CALCOLO ROTTA 2'!F93)</f>
        <v>45.864871626027877</v>
      </c>
      <c r="D143" s="88">
        <f>IF(AND('CALCOLO ROTTA 2'!I92&lt;0,'CALCOLO ROTTA 2'!I93&lt;0),"",'CALCOLO ROTTA 2'!G93)</f>
        <v>10.771047858299196</v>
      </c>
      <c r="E143" s="83">
        <f>IF(AND(B143&gt;=$B$1,$B$4=FALSE),NA(),IFERROR('CALCOLO ROTTA 2'!Q93,NA()))</f>
        <v>228.98101043985133</v>
      </c>
      <c r="F143" s="83">
        <f>IF(AND(B143&gt;=$B$1,$B$4=FALSE),NA(),IFERROR('CALCOLO ROTTA 2'!R93,NA()))</f>
        <v>208.87339848000494</v>
      </c>
    </row>
    <row r="144" spans="2:6">
      <c r="B144" s="20">
        <f t="shared" si="12"/>
        <v>44</v>
      </c>
      <c r="C144" s="88">
        <f>IF(AND('CALCOLO ROTTA 2'!I94&lt;0,'CALCOLO ROTTA 2'!I95&lt;0),"",'CALCOLO ROTTA 2'!F94)</f>
        <v>45.86475993819225</v>
      </c>
      <c r="D144" s="88">
        <f>IF(AND('CALCOLO ROTTA 2'!I94&lt;0,'CALCOLO ROTTA 2'!I95&lt;0),"",'CALCOLO ROTTA 2'!G94)</f>
        <v>10.771206568010284</v>
      </c>
      <c r="E144" s="83">
        <f>IF(AND(B144&gt;=$B$1,$B$4=FALSE),NA(),IFERROR('CALCOLO ROTTA 2'!Q94,NA()))</f>
        <v>241.27395896658277</v>
      </c>
      <c r="F144" s="83">
        <f>IF(AND(B144&gt;=$B$1,$B$4=FALSE),NA(),IFERROR('CALCOLO ROTTA 2'!R94,NA()))</f>
        <v>196.45076740377542</v>
      </c>
    </row>
    <row r="145" spans="2:6">
      <c r="B145" s="20">
        <f t="shared" si="12"/>
        <v>45</v>
      </c>
      <c r="C145" s="88">
        <f>IF(AND('CALCOLO ROTTA 2'!I94&lt;0,'CALCOLO ROTTA 2'!I95&lt;0),"",'CALCOLO ROTTA 2'!F95)</f>
        <v>45.86337715618356</v>
      </c>
      <c r="D145" s="88">
        <f>IF(AND('CALCOLO ROTTA 2'!I94&lt;0,'CALCOLO ROTTA 2'!I95&lt;0),"",'CALCOLO ROTTA 2'!G95)</f>
        <v>10.76997095676278</v>
      </c>
      <c r="E145" s="83">
        <f>IF(AND(B145&gt;=$B$1,$B$4=FALSE),NA(),IFERROR('CALCOLO ROTTA 2'!Q95,NA()))</f>
        <v>145.57252048299242</v>
      </c>
      <c r="F145" s="83">
        <f>IF(AND(B145&gt;=$B$1,$B$4=FALSE),NA(),IFERROR('CALCOLO ROTTA 2'!R95,NA()))</f>
        <v>42.649031712206195</v>
      </c>
    </row>
    <row r="146" spans="2:6">
      <c r="B146" s="20">
        <f t="shared" si="12"/>
        <v>46</v>
      </c>
      <c r="C146" s="88">
        <f>IF(AND('CALCOLO ROTTA 2'!I96&lt;0,'CALCOLO ROTTA 2'!I97&lt;0),"",'CALCOLO ROTTA 2'!F96)</f>
        <v>45.86330274360941</v>
      </c>
      <c r="D146" s="88">
        <f>IF(AND('CALCOLO ROTTA 2'!I96&lt;0,'CALCOLO ROTTA 2'!I97&lt;0),"",'CALCOLO ROTTA 2'!G96)</f>
        <v>10.770162969617965</v>
      </c>
      <c r="E146" s="83">
        <f>IF(AND(B146&gt;=$B$1,$B$4=FALSE),NA(),IFERROR('CALCOLO ROTTA 2'!Q96,NA()))</f>
        <v>160.44505069047844</v>
      </c>
      <c r="F146" s="83">
        <f>IF(AND(B146&gt;=$B$1,$B$4=FALSE),NA(),IFERROR('CALCOLO ROTTA 2'!R96,NA()))</f>
        <v>34.372408739902852</v>
      </c>
    </row>
    <row r="147" spans="2:6">
      <c r="B147" s="20">
        <f t="shared" si="12"/>
        <v>47</v>
      </c>
      <c r="C147" s="88">
        <f>IF(AND('CALCOLO ROTTA 2'!I96&lt;0,'CALCOLO ROTTA 2'!I97&lt;0),"",'CALCOLO ROTTA 2'!F97)</f>
        <v>45.864648250136916</v>
      </c>
      <c r="D147" s="88">
        <f>IF(AND('CALCOLO ROTTA 2'!I96&lt;0,'CALCOLO ROTTA 2'!I97&lt;0),"",'CALCOLO ROTTA 2'!G97)</f>
        <v>10.771365277083655</v>
      </c>
      <c r="E147" s="83">
        <f>IF(AND(B147&gt;=$B$1,$B$4=FALSE),NA(),IFERROR('CALCOLO ROTTA 2'!Q97,NA()))</f>
        <v>253.56690727773247</v>
      </c>
      <c r="F147" s="83">
        <f>IF(AND(B147&gt;=$B$1,$B$4=FALSE),NA(),IFERROR('CALCOLO ROTTA 2'!R97,NA()))</f>
        <v>184.02813096404293</v>
      </c>
    </row>
    <row r="148" spans="2:6">
      <c r="B148" s="20">
        <f t="shared" si="12"/>
        <v>48</v>
      </c>
      <c r="C148" s="88">
        <f>IF(AND('CALCOLO ROTTA 2'!I98&lt;0,'CALCOLO ROTTA 2'!I99&lt;0),"",'CALCOLO ROTTA 2'!F98)</f>
        <v>45.864536561861861</v>
      </c>
      <c r="D148" s="88">
        <f>IF(AND('CALCOLO ROTTA 2'!I98&lt;0,'CALCOLO ROTTA 2'!I99&lt;0),"",'CALCOLO ROTTA 2'!G98)</f>
        <v>10.771523985519313</v>
      </c>
      <c r="E148" s="83">
        <f>IF(AND(B148&gt;=$B$1,$B$4=FALSE),NA(),IFERROR('CALCOLO ROTTA 2'!Q98,NA()))</f>
        <v>265.85979777601256</v>
      </c>
      <c r="F148" s="83">
        <f>IF(AND(B148&gt;=$B$1,$B$4=FALSE),NA(),IFERROR('CALCOLO ROTTA 2'!R98,NA()))</f>
        <v>171.60544590180754</v>
      </c>
    </row>
    <row r="149" spans="2:6">
      <c r="B149" s="20">
        <f t="shared" si="12"/>
        <v>49</v>
      </c>
      <c r="C149" s="88">
        <f>IF(AND('CALCOLO ROTTA 2'!I98&lt;0,'CALCOLO ROTTA 2'!I99&lt;0),"",'CALCOLO ROTTA 2'!F99)</f>
        <v>45.863228330713653</v>
      </c>
      <c r="D149" s="88">
        <f>IF(AND('CALCOLO ROTTA 2'!I98&lt;0,'CALCOLO ROTTA 2'!I99&lt;0),"",'CALCOLO ROTTA 2'!G99)</f>
        <v>10.770354981959134</v>
      </c>
      <c r="E149" s="83">
        <f>IF(AND(B149&gt;=$B$1,$B$4=FALSE),NA(),IFERROR('CALCOLO ROTTA 2'!Q99,NA()))</f>
        <v>175.3174976646591</v>
      </c>
      <c r="F149" s="83">
        <f>IF(AND(B149&gt;=$B$1,$B$4=FALSE),NA(),IFERROR('CALCOLO ROTTA 2'!R99,NA()))</f>
        <v>26.095734168042739</v>
      </c>
    </row>
    <row r="150" spans="2:6">
      <c r="B150" s="20">
        <f t="shared" si="12"/>
        <v>50</v>
      </c>
      <c r="C150" s="88">
        <f>IF(AND('CALCOLO ROTTA 2'!I100&lt;0,'CALCOLO ROTTA 2'!I101&lt;0),"",'CALCOLO ROTTA 2'!F100)</f>
        <v>45.863153917496341</v>
      </c>
      <c r="D150" s="88">
        <f>IF(AND('CALCOLO ROTTA 2'!I100&lt;0,'CALCOLO ROTTA 2'!I101&lt;0),"",'CALCOLO ROTTA 2'!G100)</f>
        <v>10.770546993786294</v>
      </c>
      <c r="E150" s="83">
        <f>IF(AND(B150&gt;=$B$1,$B$4=FALSE),NA(),IFERROR('CALCOLO ROTTA 2'!Q100,NA()))</f>
        <v>190.1899669729662</v>
      </c>
      <c r="F150" s="83">
        <f>IF(AND(B150&gt;=$B$1,$B$4=FALSE),NA(),IFERROR('CALCOLO ROTTA 2'!R100,NA()))</f>
        <v>17.81902987035372</v>
      </c>
    </row>
    <row r="151" spans="2:6">
      <c r="B151" s="20">
        <f t="shared" si="12"/>
        <v>51</v>
      </c>
      <c r="C151" s="88">
        <f>IF(AND('CALCOLO ROTTA 2'!I100&lt;0,'CALCOLO ROTTA 2'!I101&lt;0),"",'CALCOLO ROTTA 2'!F101)</f>
        <v>45.864424873367099</v>
      </c>
      <c r="D151" s="88">
        <f>IF(AND('CALCOLO ROTTA 2'!I100&lt;0,'CALCOLO ROTTA 2'!I101&lt;0),"",'CALCOLO ROTTA 2'!G101)</f>
        <v>10.771682693317262</v>
      </c>
      <c r="E151" s="83">
        <f>IF(AND(B151&gt;=$B$1,$B$4=FALSE),NA(),IFERROR('CALCOLO ROTTA 2'!Q101,NA()))</f>
        <v>278.15267687465001</v>
      </c>
      <c r="F151" s="83">
        <f>IF(AND(B151&gt;=$B$1,$B$4=FALSE),NA(),IFERROR('CALCOLO ROTTA 2'!R101,NA()))</f>
        <v>159.18274642491704</v>
      </c>
    </row>
    <row r="152" spans="2:6">
      <c r="B152" s="20">
        <f t="shared" si="12"/>
        <v>52</v>
      </c>
      <c r="C152" s="88">
        <f>IF(AND('CALCOLO ROTTA 2'!I102&lt;0,'CALCOLO ROTTA 2'!I103&lt;0),"",'CALCOLO ROTTA 2'!F102)</f>
        <v>45.864313184652623</v>
      </c>
      <c r="D152" s="88">
        <f>IF(AND('CALCOLO ROTTA 2'!I102&lt;0,'CALCOLO ROTTA 2'!I103&lt;0),"",'CALCOLO ROTTA 2'!G102)</f>
        <v>10.771841400477502</v>
      </c>
      <c r="E152" s="83">
        <f>IF(AND(B152&gt;=$B$1,$B$4=FALSE),NA(),IFERROR('CALCOLO ROTTA 2'!Q102,NA()))</f>
        <v>290.44554545219967</v>
      </c>
      <c r="F152" s="83">
        <f>IF(AND(B152&gt;=$B$1,$B$4=FALSE),NA(),IFERROR('CALCOLO ROTTA 2'!R102,NA()))</f>
        <v>146.76002999780439</v>
      </c>
    </row>
    <row r="153" spans="2:6">
      <c r="B153" s="20">
        <f t="shared" si="12"/>
        <v>53</v>
      </c>
      <c r="C153" s="88">
        <f>IF(AND('CALCOLO ROTTA 2'!I102&lt;0,'CALCOLO ROTTA 2'!I103&lt;0),"",'CALCOLO ROTTA 2'!F103)</f>
        <v>45.863079503957415</v>
      </c>
      <c r="D153" s="88">
        <f>IF(AND('CALCOLO ROTTA 2'!I102&lt;0,'CALCOLO ROTTA 2'!I103&lt;0),"",'CALCOLO ROTTA 2'!G103)</f>
        <v>10.770739005099442</v>
      </c>
      <c r="E153" s="83">
        <f>IF(AND(B153&gt;=$B$1,$B$4=FALSE),NA(),IFERROR('CALCOLO ROTTA 2'!Q103,NA()))</f>
        <v>205.06238465383129</v>
      </c>
      <c r="F153" s="83">
        <f>IF(AND(B153&gt;=$B$1,$B$4=FALSE),NA(),IFERROR('CALCOLO ROTTA 2'!R103,NA()))</f>
        <v>9.5422859747766964</v>
      </c>
    </row>
    <row r="154" spans="2:6">
      <c r="B154" s="20">
        <f t="shared" si="12"/>
        <v>54</v>
      </c>
      <c r="C154" s="88">
        <f>IF(AND('CALCOLO ROTTA 2'!I104&lt;0,'CALCOLO ROTTA 2'!I105&lt;0),"",'CALCOLO ROTTA 2'!F104)</f>
        <v>45.863005090096884</v>
      </c>
      <c r="D154" s="88">
        <f>IF(AND('CALCOLO ROTTA 2'!I104&lt;0,'CALCOLO ROTTA 2'!I105&lt;0),"",'CALCOLO ROTTA 2'!G104)</f>
        <v>10.770931015898578</v>
      </c>
      <c r="E154" s="83">
        <f>IF(AND(B154&gt;=$B$1,$B$4=FALSE),NA(),IFERROR('CALCOLO ROTTA 2'!Q104,NA()))</f>
        <v>219.93477718439911</v>
      </c>
      <c r="F154" s="83">
        <f>IF(AND(B154&gt;=$B$1,$B$4=FALSE),NA(),IFERROR('CALCOLO ROTTA 2'!R104,NA()))</f>
        <v>1.2655069866324891</v>
      </c>
    </row>
    <row r="155" spans="2:6">
      <c r="B155" s="20">
        <f t="shared" si="12"/>
        <v>55</v>
      </c>
      <c r="C155" s="88">
        <f>IF(AND('CALCOLO ROTTA 2'!I104&lt;0,'CALCOLO ROTTA 2'!I105&lt;0),"",'CALCOLO ROTTA 2'!F105)</f>
        <v>45.864201495718454</v>
      </c>
      <c r="D155" s="88">
        <f>IF(AND('CALCOLO ROTTA 2'!I104&lt;0,'CALCOLO ROTTA 2'!I105&lt;0),"",'CALCOLO ROTTA 2'!G105)</f>
        <v>10.772000107000045</v>
      </c>
      <c r="E155" s="83">
        <f>IF(AND(B155&gt;=$B$1,$B$4=FALSE),NA(),IFERROR('CALCOLO ROTTA 2'!Q105,NA()))</f>
        <v>302.73837893739704</v>
      </c>
      <c r="F155" s="83">
        <f>IF(AND(B155&gt;=$B$1,$B$4=FALSE),NA(),IFERROR('CALCOLO ROTTA 2'!R105,NA()))</f>
        <v>134.33728305798581</v>
      </c>
    </row>
    <row r="156" spans="2:6">
      <c r="B156" s="20">
        <f t="shared" si="12"/>
        <v>56</v>
      </c>
      <c r="C156" s="88">
        <f>IF(AND('CALCOLO ROTTA 2'!I106&lt;0,'CALCOLO ROTTA 2'!I107&lt;0),"",'CALCOLO ROTTA 2'!F106)</f>
        <v>45.864089806564579</v>
      </c>
      <c r="D156" s="88">
        <f>IF(AND('CALCOLO ROTTA 2'!I106&lt;0,'CALCOLO ROTTA 2'!I107&lt;0),"",'CALCOLO ROTTA 2'!G106)</f>
        <v>10.772158812884886</v>
      </c>
      <c r="E156" s="83">
        <f>IF(AND(B156&gt;=$B$1,$B$4=FALSE),NA(),IFERROR('CALCOLO ROTTA 2'!Q106,NA()))</f>
        <v>315.03117710454774</v>
      </c>
      <c r="F156" s="83">
        <f>IF(AND(B156&gt;=$B$1,$B$4=FALSE),NA(),IFERROR('CALCOLO ROTTA 2'!R106,NA()))</f>
        <v>121.91450746501903</v>
      </c>
    </row>
    <row r="157" spans="2:6">
      <c r="B157" s="20">
        <f t="shared" si="12"/>
        <v>57</v>
      </c>
      <c r="C157" s="88">
        <f>IF(AND('CALCOLO ROTTA 2'!I106&lt;0,'CALCOLO ROTTA 2'!I107&lt;0),"",'CALCOLO ROTTA 2'!F107)</f>
        <v>45.862930675914782</v>
      </c>
      <c r="D157" s="88">
        <f>IF(AND('CALCOLO ROTTA 2'!I106&lt;0,'CALCOLO ROTTA 2'!I107&lt;0),"",'CALCOLO ROTTA 2'!G107)</f>
        <v>10.771123026183703</v>
      </c>
      <c r="E157" s="83">
        <f>IF(AND(B157&gt;=$B$1,$B$4=FALSE),NA(),IFERROR('CALCOLO ROTTA 2'!Q107,NA()))</f>
        <v>234.80716483171258</v>
      </c>
      <c r="F157" s="83">
        <f>IF(AND(B157&gt;=$B$1,$B$4=FALSE),NA(),IFERROR('CALCOLO ROTTA 2'!R107,NA()))</f>
        <v>-7.0113072693667631</v>
      </c>
    </row>
    <row r="158" spans="2:6">
      <c r="B158" s="20">
        <f t="shared" si="12"/>
        <v>58</v>
      </c>
      <c r="C158" s="88">
        <f>IF(AND('CALCOLO ROTTA 2'!I108&lt;0,'CALCOLO ROTTA 2'!I109&lt;0),"",'CALCOLO ROTTA 2'!F108)</f>
        <v>45.862856261411089</v>
      </c>
      <c r="D158" s="88">
        <f>IF(AND('CALCOLO ROTTA 2'!I108&lt;0,'CALCOLO ROTTA 2'!I109&lt;0),"",'CALCOLO ROTTA 2'!G108)</f>
        <v>10.771315035954819</v>
      </c>
      <c r="E158" s="83">
        <f>IF(AND(B158&gt;=$B$1,$B$4=FALSE),NA(),IFERROR('CALCOLO ROTTA 2'!Q108,NA()))</f>
        <v>249.67952688198505</v>
      </c>
      <c r="F158" s="83">
        <f>IF(AND(B158&gt;=$B$1,$B$4=FALSE),NA(),IFERROR('CALCOLO ROTTA 2'!R108,NA()))</f>
        <v>-15.288157106185468</v>
      </c>
    </row>
    <row r="159" spans="2:6">
      <c r="B159" s="20">
        <f t="shared" si="12"/>
        <v>59</v>
      </c>
      <c r="C159" s="88">
        <f>IF(AND('CALCOLO ROTTA 2'!I108&lt;0,'CALCOLO ROTTA 2'!I109&lt;0),"",'CALCOLO ROTTA 2'!F109)</f>
        <v>45.863978117190996</v>
      </c>
      <c r="D159" s="88">
        <f>IF(AND('CALCOLO ROTTA 2'!I108&lt;0,'CALCOLO ROTTA 2'!I109&lt;0),"",'CALCOLO ROTTA 2'!G109)</f>
        <v>10.772317518132036</v>
      </c>
      <c r="E159" s="83">
        <f>IF(AND(B159&gt;=$B$1,$B$4=FALSE),NA(),IFERROR('CALCOLO ROTTA 2'!Q109,NA()))</f>
        <v>327.32394009713653</v>
      </c>
      <c r="F159" s="83">
        <f>IF(AND(B159&gt;=$B$1,$B$4=FALSE),NA(),IFERROR('CALCOLO ROTTA 2'!R109,NA()))</f>
        <v>109.49170494576504</v>
      </c>
    </row>
    <row r="160" spans="2:6">
      <c r="B160" s="20">
        <f t="shared" si="12"/>
        <v>60</v>
      </c>
      <c r="C160" s="88">
        <f>IF(AND('CALCOLO ROTTA 2'!I110&lt;0,'CALCOLO ROTTA 2'!I111&lt;0),"",'CALCOLO ROTTA 2'!F110)</f>
        <v>45.863866427597706</v>
      </c>
      <c r="D160" s="88">
        <f>IF(AND('CALCOLO ROTTA 2'!I110&lt;0,'CALCOLO ROTTA 2'!I111&lt;0),"",'CALCOLO ROTTA 2'!G110)</f>
        <v>10.772476222741496</v>
      </c>
      <c r="E160" s="83">
        <f>IF(AND(B160&gt;=$B$1,$B$4=FALSE),NA(),IFERROR('CALCOLO ROTTA 2'!Q110,NA()))</f>
        <v>339.61671743182859</v>
      </c>
      <c r="F160" s="83">
        <f>IF(AND(B160&gt;=$B$1,$B$4=FALSE),NA(),IFERROR('CALCOLO ROTTA 2'!R110,NA()))</f>
        <v>97.068891073053891</v>
      </c>
    </row>
    <row r="161" spans="2:6">
      <c r="B161" s="20">
        <f t="shared" si="12"/>
        <v>61</v>
      </c>
      <c r="C161" s="88">
        <f>IF(AND('CALCOLO ROTTA 2'!I110&lt;0,'CALCOLO ROTTA 2'!I111&lt;0),"",'CALCOLO ROTTA 2'!F111)</f>
        <v>45.862781846585804</v>
      </c>
      <c r="D161" s="88">
        <f>IF(AND('CALCOLO ROTTA 2'!I110&lt;0,'CALCOLO ROTTA 2'!I111&lt;0),"",'CALCOLO ROTTA 2'!G111)</f>
        <v>10.771507045211923</v>
      </c>
      <c r="E161" s="83">
        <f>IF(AND(B161&gt;=$B$1,$B$4=FALSE),NA(),IFERROR('CALCOLO ROTTA 2'!Q111,NA()))</f>
        <v>264.55186435087722</v>
      </c>
      <c r="F161" s="83">
        <f>IF(AND(B161&gt;=$B$1,$B$4=FALSE),NA(),IFERROR('CALCOLO ROTTA 2'!R111,NA()))</f>
        <v>-23.565042111683557</v>
      </c>
    </row>
    <row r="162" spans="2:6">
      <c r="B162" s="20">
        <f t="shared" si="12"/>
        <v>62</v>
      </c>
      <c r="C162" s="88">
        <f>IF(AND('CALCOLO ROTTA 2'!I112&lt;0,'CALCOLO ROTTA 2'!I113&lt;0),"",'CALCOLO ROTTA 2'!F112)</f>
        <v>45.862707431438942</v>
      </c>
      <c r="D162" s="88">
        <f>IF(AND('CALCOLO ROTTA 2'!I112&lt;0,'CALCOLO ROTTA 2'!I113&lt;0),"",'CALCOLO ROTTA 2'!G112)</f>
        <v>10.77169905395502</v>
      </c>
      <c r="E162" s="83">
        <f>IF(AND(B162&gt;=$B$1,$B$4=FALSE),NA(),IFERROR('CALCOLO ROTTA 2'!Q112,NA()))</f>
        <v>279.42420992082043</v>
      </c>
      <c r="F162" s="83">
        <f>IF(AND(B162&gt;=$B$1,$B$4=FALSE),NA(),IFERROR('CALCOLO ROTTA 2'!R112,NA()))</f>
        <v>-31.841965694872229</v>
      </c>
    </row>
    <row r="163" spans="2:6">
      <c r="B163" s="20">
        <f t="shared" si="12"/>
        <v>63</v>
      </c>
      <c r="C163" s="88">
        <f>IF(AND('CALCOLO ROTTA 2'!I112&lt;0,'CALCOLO ROTTA 2'!I113&lt;0),"",'CALCOLO ROTTA 2'!F113)</f>
        <v>45.863754737784724</v>
      </c>
      <c r="D163" s="88">
        <f>IF(AND('CALCOLO ROTTA 2'!I112&lt;0,'CALCOLO ROTTA 2'!I113&lt;0),"",'CALCOLO ROTTA 2'!G113)</f>
        <v>10.77263492671327</v>
      </c>
      <c r="E163" s="83">
        <f>IF(AND(B163&gt;=$B$1,$B$4=FALSE),NA(),IFERROR('CALCOLO ROTTA 2'!Q113,NA()))</f>
        <v>351.90944724401794</v>
      </c>
      <c r="F163" s="83">
        <f>IF(AND(B163&gt;=$B$1,$B$4=FALSE),NA(),IFERROR('CALCOLO ROTTA 2'!R113,NA()))</f>
        <v>84.646045465774392</v>
      </c>
    </row>
    <row r="164" spans="2:6">
      <c r="B164" s="20">
        <f t="shared" si="12"/>
        <v>64</v>
      </c>
      <c r="C164" s="88">
        <f>IF(AND('CALCOLO ROTTA 2'!I114&lt;0,'CALCOLO ROTTA 2'!I115&lt;0),"",'CALCOLO ROTTA 2'!F114)</f>
        <v>45.863643047752056</v>
      </c>
      <c r="D164" s="88">
        <f>IF(AND('CALCOLO ROTTA 2'!I114&lt;0,'CALCOLO ROTTA 2'!I115&lt;0),"",'CALCOLO ROTTA 2'!G114)</f>
        <v>10.772793630047358</v>
      </c>
      <c r="E164" s="83">
        <f>IF(AND(B164&gt;=$B$1,$B$4=FALSE),NA(),IFERROR('CALCOLO ROTTA 2'!Q114,NA()))</f>
        <v>364.2021780988847</v>
      </c>
      <c r="F164" s="83">
        <f>IF(AND(B164&gt;=$B$1,$B$4=FALSE),NA(),IFERROR('CALCOLO ROTTA 2'!R114,NA()))</f>
        <v>72.223180827874728</v>
      </c>
    </row>
    <row r="165" spans="2:6">
      <c r="B165" s="20">
        <f t="shared" si="12"/>
        <v>65</v>
      </c>
      <c r="C165" s="88">
        <f>IF(AND('CALCOLO ROTTA 2'!I114&lt;0,'CALCOLO ROTTA 2'!I115&lt;0),"",'CALCOLO ROTTA 2'!F115)</f>
        <v>45.862633015970509</v>
      </c>
      <c r="D165" s="88">
        <f>IF(AND('CALCOLO ROTTA 2'!I114&lt;0,'CALCOLO ROTTA 2'!I115&lt;0),"",'CALCOLO ROTTA 2'!G115)</f>
        <v>10.771891062184107</v>
      </c>
      <c r="E165" s="83">
        <f>IF(AND(B165&gt;=$B$1,$B$4=FALSE),NA(),IFERROR('CALCOLO ROTTA 2'!Q115,NA()))</f>
        <v>294.29649876569437</v>
      </c>
      <c r="F165" s="83">
        <f>IF(AND(B165&gt;=$B$1,$B$4=FALSE),NA(),IFERROR('CALCOLO ROTTA 2'!R115,NA()))</f>
        <v>-40.118920951957826</v>
      </c>
    </row>
    <row r="166" spans="2:6">
      <c r="B166" s="20">
        <f t="shared" si="12"/>
        <v>66</v>
      </c>
      <c r="C166" s="88">
        <f>IF(AND('CALCOLO ROTTA 2'!I116&lt;0,'CALCOLO ROTTA 2'!I117&lt;0),"",'CALCOLO ROTTA 2'!F116)</f>
        <v>45.862558600180463</v>
      </c>
      <c r="D166" s="88">
        <f>IF(AND('CALCOLO ROTTA 2'!I116&lt;0,'CALCOLO ROTTA 2'!I117&lt;0),"",'CALCOLO ROTTA 2'!G116)</f>
        <v>10.772083069899185</v>
      </c>
      <c r="E166" s="83">
        <f>IF(AND(B166&gt;=$B$1,$B$4=FALSE),NA(),IFERROR('CALCOLO ROTTA 2'!Q116,NA()))</f>
        <v>309.16876522642013</v>
      </c>
      <c r="F166" s="83">
        <f>IF(AND(B166&gt;=$B$1,$B$4=FALSE),NA(),IFERROR('CALCOLO ROTTA 2'!R116,NA()))</f>
        <v>-48.395910894780272</v>
      </c>
    </row>
    <row r="167" spans="2:6">
      <c r="B167" s="20">
        <f t="shared" si="12"/>
        <v>67</v>
      </c>
      <c r="C167" s="88">
        <f>IF(AND('CALCOLO ROTTA 2'!I116&lt;0,'CALCOLO ROTTA 2'!I117&lt;0),"",'CALCOLO ROTTA 2'!F117)</f>
        <v>45.863531357499681</v>
      </c>
      <c r="D167" s="88">
        <f>IF(AND('CALCOLO ROTTA 2'!I116&lt;0,'CALCOLO ROTTA 2'!I117&lt;0),"",'CALCOLO ROTTA 2'!G117)</f>
        <v>10.77295233274377</v>
      </c>
      <c r="E167" s="83">
        <f>IF(AND(B167&gt;=$B$1,$B$4=FALSE),NA(),IFERROR('CALCOLO ROTTA 2'!Q117,NA()))</f>
        <v>376.49483844915915</v>
      </c>
      <c r="F167" s="83">
        <f>IF(AND(B167&gt;=$B$1,$B$4=FALSE),NA(),IFERROR('CALCOLO ROTTA 2'!R117,NA()))</f>
        <v>59.800282715048475</v>
      </c>
    </row>
    <row r="168" spans="2:6">
      <c r="B168" s="20">
        <f t="shared" si="12"/>
        <v>68</v>
      </c>
      <c r="C168" s="88">
        <f>IF(AND('CALCOLO ROTTA 2'!I118&lt;0,'CALCOLO ROTTA 2'!I119&lt;0),"",'CALCOLO ROTTA 2'!F118)</f>
        <v>45.863419667027614</v>
      </c>
      <c r="D168" s="88">
        <f>IF(AND('CALCOLO ROTTA 2'!I118&lt;0,'CALCOLO ROTTA 2'!I119&lt;0),"",'CALCOLO ROTTA 2'!G118)</f>
        <v>10.773111034802509</v>
      </c>
      <c r="E168" s="83">
        <f>IF(AND(B168&gt;=$B$1,$B$4=FALSE),NA(),IFERROR('CALCOLO ROTTA 2'!Q118,NA()))</f>
        <v>388.78751108673447</v>
      </c>
      <c r="F168" s="83">
        <f>IF(AND(B168&gt;=$B$1,$B$4=FALSE),NA(),IFERROR('CALCOLO ROTTA 2'!R118,NA()))</f>
        <v>47.37736646958119</v>
      </c>
    </row>
    <row r="169" spans="2:6">
      <c r="B169" s="20">
        <f t="shared" si="12"/>
        <v>69</v>
      </c>
      <c r="C169" s="88">
        <f>IF(AND('CALCOLO ROTTA 2'!I118&lt;0,'CALCOLO ROTTA 2'!I119&lt;0),"",'CALCOLO ROTTA 2'!F119)</f>
        <v>45.862484184068876</v>
      </c>
      <c r="D169" s="88">
        <f>IF(AND('CALCOLO ROTTA 2'!I118&lt;0,'CALCOLO ROTTA 2'!I119&lt;0),"",'CALCOLO ROTTA 2'!G119)</f>
        <v>10.772275077100259</v>
      </c>
      <c r="E169" s="83">
        <f>IF(AND(B169&gt;=$B$1,$B$4=FALSE),NA(),IFERROR('CALCOLO ROTTA 2'!Q119,NA()))</f>
        <v>324.04103672454056</v>
      </c>
      <c r="F169" s="83">
        <f>IF(AND(B169&gt;=$B$1,$B$4=FALSE),NA(),IFERROR('CALCOLO ROTTA 2'!R119,NA()))</f>
        <v>-56.67294027480736</v>
      </c>
    </row>
    <row r="170" spans="2:6">
      <c r="B170" s="20">
        <f t="shared" si="12"/>
        <v>70</v>
      </c>
      <c r="C170" s="88">
        <f>IF(AND('CALCOLO ROTTA 2'!I120&lt;0,'CALCOLO ROTTA 2'!I121&lt;0),"",'CALCOLO ROTTA 2'!F120)</f>
        <v>45.862409767635711</v>
      </c>
      <c r="D170" s="88">
        <f>IF(AND('CALCOLO ROTTA 2'!I120&lt;0,'CALCOLO ROTTA 2'!I121&lt;0),"",'CALCOLO ROTTA 2'!G120)</f>
        <v>10.772467083787323</v>
      </c>
      <c r="E170" s="83">
        <f>IF(AND(B170&gt;=$B$1,$B$4=FALSE),NA(),IFERROR('CALCOLO ROTTA 2'!Q120,NA()))</f>
        <v>338.91330958482496</v>
      </c>
      <c r="F170" s="83">
        <f>IF(AND(B170&gt;=$B$1,$B$4=FALSE),NA(),IFERROR('CALCOLO ROTTA 2'!R120,NA()))</f>
        <v>-64.950009732167899</v>
      </c>
    </row>
    <row r="171" spans="2:6">
      <c r="B171" s="20">
        <f t="shared" si="12"/>
        <v>71</v>
      </c>
      <c r="C171" s="88">
        <f>IF(AND('CALCOLO ROTTA 2'!I120&lt;0,'CALCOLO ROTTA 2'!I121&lt;0),"",'CALCOLO ROTTA 2'!F121)</f>
        <v>45.863307976335868</v>
      </c>
      <c r="D171" s="88">
        <f>IF(AND('CALCOLO ROTTA 2'!I120&lt;0,'CALCOLO ROTTA 2'!I121&lt;0),"",'CALCOLO ROTTA 2'!G121)</f>
        <v>10.773269736223572</v>
      </c>
      <c r="E171" s="83">
        <f>IF(AND(B171&gt;=$B$1,$B$4=FALSE),NA(),IFERROR('CALCOLO ROTTA 2'!Q121,NA()))</f>
        <v>401.08012661984003</v>
      </c>
      <c r="F171" s="83">
        <f>IF(AND(B171&gt;=$B$1,$B$4=FALSE),NA(),IFERROR('CALCOLO ROTTA 2'!R121,NA()))</f>
        <v>34.954422025255703</v>
      </c>
    </row>
    <row r="172" spans="2:6">
      <c r="B172" s="20">
        <f t="shared" si="12"/>
        <v>72</v>
      </c>
      <c r="C172" s="88">
        <f>IF(AND('CALCOLO ROTTA 2'!I122&lt;0,'CALCOLO ROTTA 2'!I123&lt;0),"",'CALCOLO ROTTA 2'!F122)</f>
        <v>45.863196285424415</v>
      </c>
      <c r="D172" s="88">
        <f>IF(AND('CALCOLO ROTTA 2'!I122&lt;0,'CALCOLO ROTTA 2'!I123&lt;0),"",'CALCOLO ROTTA 2'!G122)</f>
        <v>10.773428437006972</v>
      </c>
      <c r="E172" s="83">
        <f>IF(AND(B172&gt;=$B$1,$B$4=FALSE),NA(),IFERROR('CALCOLO ROTTA 2'!Q122,NA()))</f>
        <v>413.37274179596278</v>
      </c>
      <c r="F172" s="83">
        <f>IF(AND(B172&gt;=$B$1,$B$4=FALSE),NA(),IFERROR('CALCOLO ROTTA 2'!R122,NA()))</f>
        <v>22.53145573382908</v>
      </c>
    </row>
    <row r="173" spans="2:6">
      <c r="B173" s="20">
        <f t="shared" si="12"/>
        <v>73</v>
      </c>
      <c r="C173" s="88">
        <f>IF(AND('CALCOLO ROTTA 2'!I122&lt;0,'CALCOLO ROTTA 2'!I123&lt;0),"",'CALCOLO ROTTA 2'!F123)</f>
        <v>45.862335350880947</v>
      </c>
      <c r="D173" s="88">
        <f>IF(AND('CALCOLO ROTTA 2'!I122&lt;0,'CALCOLO ROTTA 2'!I123&lt;0),"",'CALCOLO ROTTA 2'!G123)</f>
        <v>10.772659089960381</v>
      </c>
      <c r="E173" s="83">
        <f>IF(AND(B173&gt;=$B$1,$B$4=FALSE),NA(),IFERROR('CALCOLO ROTTA 2'!Q123,NA()))</f>
        <v>353.78553187140778</v>
      </c>
      <c r="F173" s="83">
        <f>IF(AND(B173&gt;=$B$1,$B$4=FALSE),NA(),IFERROR('CALCOLO ROTTA 2'!R123,NA()))</f>
        <v>-73.227109469315224</v>
      </c>
    </row>
    <row r="174" spans="2:6">
      <c r="B174" s="20">
        <f t="shared" si="12"/>
        <v>74</v>
      </c>
      <c r="C174" s="88">
        <f>IF(AND('CALCOLO ROTTA 2'!I124&lt;0,'CALCOLO ROTTA 2'!I125&lt;0),"",'CALCOLO ROTTA 2'!F124)</f>
        <v>45.862260933804627</v>
      </c>
      <c r="D174" s="88">
        <f>IF(AND('CALCOLO ROTTA 2'!I124&lt;0,'CALCOLO ROTTA 2'!I125&lt;0),"",'CALCOLO ROTTA 2'!G124)</f>
        <v>10.772851095619433</v>
      </c>
      <c r="E174" s="83">
        <f>IF(AND(B174&gt;=$B$1,$B$4=FALSE),NA(),IFERROR('CALCOLO ROTTA 2'!Q124,NA()))</f>
        <v>368.65773109349635</v>
      </c>
      <c r="F174" s="83">
        <f>IF(AND(B174&gt;=$B$1,$B$4=FALSE),NA(),IFERROR('CALCOLO ROTTA 2'!R124,NA()))</f>
        <v>-81.504244164555928</v>
      </c>
    </row>
    <row r="175" spans="2:6">
      <c r="B175" s="20">
        <f t="shared" si="12"/>
        <v>75</v>
      </c>
      <c r="C175" s="88">
        <f>IF(AND('CALCOLO ROTTA 2'!I124&lt;0,'CALCOLO ROTTA 2'!I125&lt;0),"",'CALCOLO ROTTA 2'!F125)</f>
        <v>45.863084594293284</v>
      </c>
      <c r="D175" s="88">
        <f>IF(AND('CALCOLO ROTTA 2'!I124&lt;0,'CALCOLO ROTTA 2'!I125&lt;0),"",'CALCOLO ROTTA 2'!G125)</f>
        <v>10.773587137152704</v>
      </c>
      <c r="E175" s="83">
        <f>IF(AND(B175&gt;=$B$1,$B$4=FALSE),NA(),IFERROR('CALCOLO ROTTA 2'!Q125,NA()))</f>
        <v>425.66533361413826</v>
      </c>
      <c r="F175" s="83">
        <f>IF(AND(B175&gt;=$B$1,$B$4=FALSE),NA(),IFERROR('CALCOLO ROTTA 2'!R125,NA()))</f>
        <v>10.108464695029205</v>
      </c>
    </row>
    <row r="176" spans="2:6">
      <c r="B176" s="20">
        <f t="shared" si="12"/>
        <v>76</v>
      </c>
      <c r="C176" s="88">
        <f>IF(AND('CALCOLO ROTTA 2'!I126&lt;0,'CALCOLO ROTTA 2'!I127&lt;0),"",'CALCOLO ROTTA 2'!F126)</f>
        <v>45.86297290294246</v>
      </c>
      <c r="D176" s="88">
        <f>IF(AND('CALCOLO ROTTA 2'!I126&lt;0,'CALCOLO ROTTA 2'!I127&lt;0),"",'CALCOLO ROTTA 2'!G126)</f>
        <v>10.773745836660781</v>
      </c>
      <c r="E176" s="83">
        <f>IF(AND(B176&gt;=$B$1,$B$4=FALSE),NA(),IFERROR('CALCOLO ROTTA 2'!Q126,NA()))</f>
        <v>437.95789164173453</v>
      </c>
      <c r="F176" s="83">
        <f>IF(AND(B176&gt;=$B$1,$B$4=FALSE),NA(),IFERROR('CALCOLO ROTTA 2'!R126,NA()))</f>
        <v>-2.3145511253010858</v>
      </c>
    </row>
    <row r="177" spans="2:6">
      <c r="B177" s="20">
        <f t="shared" si="12"/>
        <v>77</v>
      </c>
      <c r="C177" s="88">
        <f>IF(AND('CALCOLO ROTTA 2'!I126&lt;0,'CALCOLO ROTTA 2'!I127&lt;0),"",'CALCOLO ROTTA 2'!F127)</f>
        <v>45.862186516406716</v>
      </c>
      <c r="D177" s="88">
        <f>IF(AND('CALCOLO ROTTA 2'!I126&lt;0,'CALCOLO ROTTA 2'!I127&lt;0),"",'CALCOLO ROTTA 2'!G127)</f>
        <v>10.773043100764479</v>
      </c>
      <c r="E177" s="83">
        <f>IF(AND(B177&gt;=$B$1,$B$4=FALSE),NA(),IFERROR('CALCOLO ROTTA 2'!Q127,NA()))</f>
        <v>383.52990767188953</v>
      </c>
      <c r="F177" s="83">
        <f>IF(AND(B177&gt;=$B$1,$B$4=FALSE),NA(),IFERROR('CALCOLO ROTTA 2'!R127,NA()))</f>
        <v>-89.781413806715165</v>
      </c>
    </row>
    <row r="178" spans="2:6">
      <c r="B178" s="20">
        <f t="shared" si="12"/>
        <v>78</v>
      </c>
      <c r="C178" s="88">
        <f>IF(AND('CALCOLO ROTTA 2'!I128&lt;0,'CALCOLO ROTTA 2'!I129&lt;0),"",'CALCOLO ROTTA 2'!F128)</f>
        <v>45.862112098687255</v>
      </c>
      <c r="D178" s="88">
        <f>IF(AND('CALCOLO ROTTA 2'!I128&lt;0,'CALCOLO ROTTA 2'!I129&lt;0),"",'CALCOLO ROTTA 2'!G128)</f>
        <v>10.77323510539552</v>
      </c>
      <c r="E178" s="83">
        <f>IF(AND(B178&gt;=$B$1,$B$4=FALSE),NA(),IFERROR('CALCOLO ROTTA 2'!Q128,NA()))</f>
        <v>398.40208330669554</v>
      </c>
      <c r="F178" s="83">
        <f>IF(AND(B178&gt;=$B$1,$B$4=FALSE),NA(),IFERROR('CALCOLO ROTTA 2'!R128,NA()))</f>
        <v>-98.058623654858906</v>
      </c>
    </row>
    <row r="179" spans="2:6">
      <c r="B179" s="20">
        <f t="shared" si="12"/>
        <v>79</v>
      </c>
      <c r="C179" s="88">
        <f>IF(AND('CALCOLO ROTTA 2'!I128&lt;0,'CALCOLO ROTTA 2'!I129&lt;0),"",'CALCOLO ROTTA 2'!F129)</f>
        <v>45.86286121137195</v>
      </c>
      <c r="D179" s="88">
        <f>IF(AND('CALCOLO ROTTA 2'!I128&lt;0,'CALCOLO ROTTA 2'!I129&lt;0),"",'CALCOLO ROTTA 2'!G129)</f>
        <v>10.7739045355312</v>
      </c>
      <c r="E179" s="83">
        <f>IF(AND(B179&gt;=$B$1,$B$4=FALSE),NA(),IFERROR('CALCOLO ROTTA 2'!Q129,NA()))</f>
        <v>450.2504266232603</v>
      </c>
      <c r="F179" s="83">
        <f>IF(AND(B179&gt;=$B$1,$B$4=FALSE),NA(),IFERROR('CALCOLO ROTTA 2'!R129,NA()))</f>
        <v>-14.737591298548219</v>
      </c>
    </row>
    <row r="180" spans="2:6">
      <c r="B180" s="20">
        <f t="shared" si="12"/>
        <v>80</v>
      </c>
      <c r="C180" s="88">
        <f>IF(AND('CALCOLO ROTTA 2'!I130&lt;0,'CALCOLO ROTTA 2'!I131&lt;0),"",'CALCOLO ROTTA 2'!F130)</f>
        <v>45.862510330540275</v>
      </c>
      <c r="D180" s="88">
        <f>IF(AND('CALCOLO ROTTA 2'!I130&lt;0,'CALCOLO ROTTA 2'!I131&lt;0),"",'CALCOLO ROTTA 2'!G130)</f>
        <v>10.773849557913914</v>
      </c>
      <c r="E180" s="83">
        <f>IF(AND(B180&gt;=$B$1,$B$4=FALSE),NA(),IFERROR('CALCOLO ROTTA 2'!Q130,NA()))</f>
        <v>445.99351300232848</v>
      </c>
      <c r="F180" s="83">
        <f>IF(AND(B180&gt;=$B$1,$B$4=FALSE),NA(),IFERROR('CALCOLO ROTTA 2'!R130,NA()))</f>
        <v>-53.764767641455457</v>
      </c>
    </row>
    <row r="181" spans="2:6">
      <c r="B181" s="20">
        <f t="shared" si="12"/>
        <v>81</v>
      </c>
      <c r="C181" s="88">
        <f>IF(AND('CALCOLO ROTTA 2'!I130&lt;0,'CALCOLO ROTTA 2'!I131&lt;0),"",'CALCOLO ROTTA 2'!F131)</f>
        <v>45.862037680646218</v>
      </c>
      <c r="D181" s="88">
        <f>IF(AND('CALCOLO ROTTA 2'!I130&lt;0,'CALCOLO ROTTA 2'!I131&lt;0),"",'CALCOLO ROTTA 2'!G131)</f>
        <v>10.773427109512555</v>
      </c>
      <c r="E181" s="83">
        <f>IF(AND(B181&gt;=$B$1,$B$4=FALSE),NA(),IFERROR('CALCOLO ROTTA 2'!Q131,NA()))</f>
        <v>413.27423520107669</v>
      </c>
      <c r="F181" s="83">
        <f>IF(AND(B181&gt;=$B$1,$B$4=FALSE),NA(),IFERROR('CALCOLO ROTTA 2'!R131,NA()))</f>
        <v>-106.3358685048895</v>
      </c>
    </row>
    <row r="182" spans="2:6">
      <c r="B182" s="20" t="str">
        <f t="shared" si="12"/>
        <v/>
      </c>
      <c r="C182" s="88" t="str">
        <f>IF(AND('CALCOLO ROTTA 2'!I132&lt;0,'CALCOLO ROTTA 2'!I133&lt;0),"",'CALCOLO ROTTA 2'!F132)</f>
        <v/>
      </c>
      <c r="D182" s="88" t="str">
        <f>IF(AND('CALCOLO ROTTA 2'!I132&lt;0,'CALCOLO ROTTA 2'!I133&lt;0),"",'CALCOLO ROTTA 2'!G132)</f>
        <v/>
      </c>
      <c r="E182" s="83" t="e">
        <f>IF(AND(B182&gt;=$B$1,$B$4=FALSE),NA(),IFERROR('CALCOLO ROTTA 2'!Q132,NA()))</f>
        <v>#N/A</v>
      </c>
      <c r="F182" s="83" t="e">
        <f>IF(AND(B182&gt;=$B$1,$B$4=FALSE),NA(),IFERROR('CALCOLO ROTTA 2'!R132,NA()))</f>
        <v>#N/A</v>
      </c>
    </row>
    <row r="183" spans="2:6">
      <c r="B183" s="20" t="str">
        <f t="shared" si="12"/>
        <v/>
      </c>
      <c r="C183" s="88" t="str">
        <f>IF(AND('CALCOLO ROTTA 2'!I132&lt;0,'CALCOLO ROTTA 2'!I133&lt;0),"",'CALCOLO ROTTA 2'!F133)</f>
        <v/>
      </c>
      <c r="D183" s="88" t="str">
        <f>IF(AND('CALCOLO ROTTA 2'!I132&lt;0,'CALCOLO ROTTA 2'!I133&lt;0),"",'CALCOLO ROTTA 2'!G133)</f>
        <v/>
      </c>
      <c r="E183" s="83" t="e">
        <f>IF(AND(B183&gt;=$B$1,$B$4=FALSE),NA(),IFERROR('CALCOLO ROTTA 2'!Q133,NA()))</f>
        <v>#N/A</v>
      </c>
      <c r="F183" s="83" t="e">
        <f>IF(AND(B183&gt;=$B$1,$B$4=FALSE),NA(),IFERROR('CALCOLO ROTTA 2'!R133,NA()))</f>
        <v>#N/A</v>
      </c>
    </row>
    <row r="184" spans="2:6">
      <c r="B184" s="20" t="str">
        <f t="shared" si="12"/>
        <v/>
      </c>
      <c r="C184" s="88" t="str">
        <f>IF(AND('CALCOLO ROTTA 2'!I134&lt;0,'CALCOLO ROTTA 2'!I135&lt;0),"",'CALCOLO ROTTA 2'!F134)</f>
        <v/>
      </c>
      <c r="D184" s="88" t="str">
        <f>IF(AND('CALCOLO ROTTA 2'!I134&lt;0,'CALCOLO ROTTA 2'!I135&lt;0),"",'CALCOLO ROTTA 2'!G134)</f>
        <v/>
      </c>
      <c r="E184" s="83" t="e">
        <f>IF(AND(B184&gt;=$B$1,$B$4=FALSE),NA(),IFERROR('CALCOLO ROTTA 2'!Q134,NA()))</f>
        <v>#N/A</v>
      </c>
      <c r="F184" s="83" t="e">
        <f>IF(AND(B184&gt;=$B$1,$B$4=FALSE),NA(),IFERROR('CALCOLO ROTTA 2'!R134,NA()))</f>
        <v>#N/A</v>
      </c>
    </row>
    <row r="185" spans="2:6">
      <c r="B185" s="20" t="str">
        <f t="shared" si="12"/>
        <v/>
      </c>
      <c r="C185" s="88" t="str">
        <f>IF(AND('CALCOLO ROTTA 2'!I134&lt;0,'CALCOLO ROTTA 2'!I135&lt;0),"",'CALCOLO ROTTA 2'!F135)</f>
        <v/>
      </c>
      <c r="D185" s="88" t="str">
        <f>IF(AND('CALCOLO ROTTA 2'!I134&lt;0,'CALCOLO ROTTA 2'!I135&lt;0),"",'CALCOLO ROTTA 2'!G135)</f>
        <v/>
      </c>
      <c r="E185" s="83" t="e">
        <f>IF(AND(B185&gt;=$B$1,$B$4=FALSE),NA(),IFERROR('CALCOLO ROTTA 2'!Q135,NA()))</f>
        <v>#N/A</v>
      </c>
      <c r="F185" s="83" t="e">
        <f>IF(AND(B185&gt;=$B$1,$B$4=FALSE),NA(),IFERROR('CALCOLO ROTTA 2'!R135,NA()))</f>
        <v>#N/A</v>
      </c>
    </row>
    <row r="186" spans="2:6">
      <c r="B186" s="20" t="str">
        <f t="shared" si="12"/>
        <v/>
      </c>
      <c r="C186" s="88" t="str">
        <f>IF(AND('CALCOLO ROTTA 2'!I136&lt;0,'CALCOLO ROTTA 2'!I137&lt;0),"",'CALCOLO ROTTA 2'!F136)</f>
        <v/>
      </c>
      <c r="D186" s="88" t="str">
        <f>IF(AND('CALCOLO ROTTA 2'!I136&lt;0,'CALCOLO ROTTA 2'!I137&lt;0),"",'CALCOLO ROTTA 2'!G136)</f>
        <v/>
      </c>
      <c r="E186" s="83" t="e">
        <f>IF(AND(B186&gt;=$B$1,$B$4=FALSE),NA(),IFERROR('CALCOLO ROTTA 2'!Q136,NA()))</f>
        <v>#N/A</v>
      </c>
      <c r="F186" s="83" t="e">
        <f>IF(AND(B186&gt;=$B$1,$B$4=FALSE),NA(),IFERROR('CALCOLO ROTTA 2'!R136,NA()))</f>
        <v>#N/A</v>
      </c>
    </row>
    <row r="187" spans="2:6">
      <c r="B187" s="20" t="str">
        <f t="shared" si="12"/>
        <v/>
      </c>
      <c r="C187" s="88" t="str">
        <f>IF(AND('CALCOLO ROTTA 2'!I136&lt;0,'CALCOLO ROTTA 2'!I137&lt;0),"",'CALCOLO ROTTA 2'!F137)</f>
        <v/>
      </c>
      <c r="D187" s="88" t="str">
        <f>IF(AND('CALCOLO ROTTA 2'!I136&lt;0,'CALCOLO ROTTA 2'!I137&lt;0),"",'CALCOLO ROTTA 2'!G137)</f>
        <v/>
      </c>
      <c r="E187" s="83" t="e">
        <f>IF(AND(B187&gt;=$B$1,$B$4=FALSE),NA(),IFERROR('CALCOLO ROTTA 2'!Q137,NA()))</f>
        <v>#N/A</v>
      </c>
      <c r="F187" s="83" t="e">
        <f>IF(AND(B187&gt;=$B$1,$B$4=FALSE),NA(),IFERROR('CALCOLO ROTTA 2'!R137,NA()))</f>
        <v>#N/A</v>
      </c>
    </row>
    <row r="188" spans="2:6">
      <c r="B188" s="20" t="str">
        <f t="shared" si="12"/>
        <v/>
      </c>
      <c r="C188" s="88" t="str">
        <f>IF(AND('CALCOLO ROTTA 2'!I138&lt;0,'CALCOLO ROTTA 2'!I139&lt;0),"",'CALCOLO ROTTA 2'!F138)</f>
        <v/>
      </c>
      <c r="D188" s="88" t="str">
        <f>IF(AND('CALCOLO ROTTA 2'!I138&lt;0,'CALCOLO ROTTA 2'!I139&lt;0),"",'CALCOLO ROTTA 2'!G138)</f>
        <v/>
      </c>
      <c r="E188" s="83" t="e">
        <f>IF(AND(B188&gt;=$B$1,$B$4=FALSE),NA(),IFERROR('CALCOLO ROTTA 2'!Q138,NA()))</f>
        <v>#N/A</v>
      </c>
      <c r="F188" s="83" t="e">
        <f>IF(AND(B188&gt;=$B$1,$B$4=FALSE),NA(),IFERROR('CALCOLO ROTTA 2'!R138,NA()))</f>
        <v>#N/A</v>
      </c>
    </row>
    <row r="189" spans="2:6">
      <c r="B189" s="20" t="str">
        <f t="shared" si="12"/>
        <v/>
      </c>
      <c r="C189" s="88" t="str">
        <f>IF(AND('CALCOLO ROTTA 2'!I138&lt;0,'CALCOLO ROTTA 2'!I139&lt;0),"",'CALCOLO ROTTA 2'!F139)</f>
        <v/>
      </c>
      <c r="D189" s="88" t="str">
        <f>IF(AND('CALCOLO ROTTA 2'!I138&lt;0,'CALCOLO ROTTA 2'!I139&lt;0),"",'CALCOLO ROTTA 2'!G139)</f>
        <v/>
      </c>
      <c r="E189" s="83" t="e">
        <f>IF(AND(B189&gt;=$B$1,$B$4=FALSE),NA(),IFERROR('CALCOLO ROTTA 2'!Q139,NA()))</f>
        <v>#N/A</v>
      </c>
      <c r="F189" s="83" t="e">
        <f>IF(AND(B189&gt;=$B$1,$B$4=FALSE),NA(),IFERROR('CALCOLO ROTTA 2'!R139,NA()))</f>
        <v>#N/A</v>
      </c>
    </row>
    <row r="190" spans="2:6">
      <c r="B190" s="20" t="str">
        <f t="shared" si="12"/>
        <v/>
      </c>
      <c r="C190" s="88" t="str">
        <f>IF(AND('CALCOLO ROTTA 2'!I140&lt;0,'CALCOLO ROTTA 2'!I141&lt;0),"",'CALCOLO ROTTA 2'!F140)</f>
        <v/>
      </c>
      <c r="D190" s="88" t="str">
        <f>IF(AND('CALCOLO ROTTA 2'!I140&lt;0,'CALCOLO ROTTA 2'!I141&lt;0),"",'CALCOLO ROTTA 2'!G140)</f>
        <v/>
      </c>
      <c r="E190" s="83" t="e">
        <f>IF(AND(B190&gt;=$B$1,$B$4=FALSE),NA(),IFERROR('CALCOLO ROTTA 2'!Q140,NA()))</f>
        <v>#N/A</v>
      </c>
      <c r="F190" s="83" t="e">
        <f>IF(AND(B190&gt;=$B$1,$B$4=FALSE),NA(),IFERROR('CALCOLO ROTTA 2'!R140,NA()))</f>
        <v>#N/A</v>
      </c>
    </row>
    <row r="191" spans="2:6">
      <c r="B191" s="20" t="str">
        <f t="shared" si="12"/>
        <v/>
      </c>
      <c r="C191" s="88" t="str">
        <f>IF(AND('CALCOLO ROTTA 2'!I140&lt;0,'CALCOLO ROTTA 2'!I141&lt;0),"",'CALCOLO ROTTA 2'!F141)</f>
        <v/>
      </c>
      <c r="D191" s="88" t="str">
        <f>IF(AND('CALCOLO ROTTA 2'!I140&lt;0,'CALCOLO ROTTA 2'!I141&lt;0),"",'CALCOLO ROTTA 2'!G141)</f>
        <v/>
      </c>
      <c r="E191" s="83" t="e">
        <f>IF(AND(B191&gt;=$B$1,$B$4=FALSE),NA(),IFERROR('CALCOLO ROTTA 2'!Q141,NA()))</f>
        <v>#N/A</v>
      </c>
      <c r="F191" s="83" t="e">
        <f>IF(AND(B191&gt;=$B$1,$B$4=FALSE),NA(),IFERROR('CALCOLO ROTTA 2'!R141,NA()))</f>
        <v>#N/A</v>
      </c>
    </row>
    <row r="192" spans="2:6">
      <c r="B192" s="20" t="str">
        <f t="shared" si="12"/>
        <v/>
      </c>
      <c r="C192" s="88" t="str">
        <f>IF(AND('CALCOLO ROTTA 2'!I142&lt;0,'CALCOLO ROTTA 2'!I143&lt;0),"",'CALCOLO ROTTA 2'!F142)</f>
        <v/>
      </c>
      <c r="D192" s="88" t="str">
        <f>IF(AND('CALCOLO ROTTA 2'!I142&lt;0,'CALCOLO ROTTA 2'!I143&lt;0),"",'CALCOLO ROTTA 2'!G142)</f>
        <v/>
      </c>
      <c r="E192" s="83" t="e">
        <f>IF(AND(B192&gt;=$B$1,$B$4=FALSE),NA(),IFERROR('CALCOLO ROTTA 2'!Q142,NA()))</f>
        <v>#N/A</v>
      </c>
      <c r="F192" s="83" t="e">
        <f>IF(AND(B192&gt;=$B$1,$B$4=FALSE),NA(),IFERROR('CALCOLO ROTTA 2'!R142,NA()))</f>
        <v>#N/A</v>
      </c>
    </row>
    <row r="193" spans="2:6">
      <c r="B193" s="20" t="str">
        <f t="shared" si="12"/>
        <v/>
      </c>
      <c r="C193" s="88" t="str">
        <f>IF(AND('CALCOLO ROTTA 2'!I142&lt;0,'CALCOLO ROTTA 2'!I143&lt;0),"",'CALCOLO ROTTA 2'!F143)</f>
        <v/>
      </c>
      <c r="D193" s="88" t="str">
        <f>IF(AND('CALCOLO ROTTA 2'!I142&lt;0,'CALCOLO ROTTA 2'!I143&lt;0),"",'CALCOLO ROTTA 2'!G143)</f>
        <v/>
      </c>
      <c r="E193" s="83" t="e">
        <f>IF(AND(B193&gt;=$B$1,$B$4=FALSE),NA(),IFERROR('CALCOLO ROTTA 2'!Q143,NA()))</f>
        <v>#N/A</v>
      </c>
      <c r="F193" s="83" t="e">
        <f>IF(AND(B193&gt;=$B$1,$B$4=FALSE),NA(),IFERROR('CALCOLO ROTTA 2'!R143,NA()))</f>
        <v>#N/A</v>
      </c>
    </row>
    <row r="194" spans="2:6">
      <c r="B194" s="20" t="str">
        <f t="shared" ref="B194:B225" si="13">IF(C194="","",B193+1)</f>
        <v/>
      </c>
      <c r="C194" s="88" t="str">
        <f>IF(AND('CALCOLO ROTTA 2'!I144&lt;0,'CALCOLO ROTTA 2'!I145&lt;0),"",'CALCOLO ROTTA 2'!F144)</f>
        <v/>
      </c>
      <c r="D194" s="88" t="str">
        <f>IF(AND('CALCOLO ROTTA 2'!I144&lt;0,'CALCOLO ROTTA 2'!I145&lt;0),"",'CALCOLO ROTTA 2'!G144)</f>
        <v/>
      </c>
      <c r="E194" s="83" t="e">
        <f>IF(AND(B194&gt;=$B$1,$B$4=FALSE),NA(),IFERROR('CALCOLO ROTTA 2'!Q144,NA()))</f>
        <v>#N/A</v>
      </c>
      <c r="F194" s="83" t="e">
        <f>IF(AND(B194&gt;=$B$1,$B$4=FALSE),NA(),IFERROR('CALCOLO ROTTA 2'!R144,NA()))</f>
        <v>#N/A</v>
      </c>
    </row>
    <row r="195" spans="2:6">
      <c r="B195" s="20" t="str">
        <f t="shared" si="13"/>
        <v/>
      </c>
      <c r="C195" s="88" t="str">
        <f>IF(AND('CALCOLO ROTTA 2'!I144&lt;0,'CALCOLO ROTTA 2'!I145&lt;0),"",'CALCOLO ROTTA 2'!F145)</f>
        <v/>
      </c>
      <c r="D195" s="88" t="str">
        <f>IF(AND('CALCOLO ROTTA 2'!I144&lt;0,'CALCOLO ROTTA 2'!I145&lt;0),"",'CALCOLO ROTTA 2'!G145)</f>
        <v/>
      </c>
      <c r="E195" s="83" t="e">
        <f>IF(AND(B195&gt;=$B$1,$B$4=FALSE),NA(),IFERROR('CALCOLO ROTTA 2'!Q145,NA()))</f>
        <v>#N/A</v>
      </c>
      <c r="F195" s="83" t="e">
        <f>IF(AND(B195&gt;=$B$1,$B$4=FALSE),NA(),IFERROR('CALCOLO ROTTA 2'!R145,NA()))</f>
        <v>#N/A</v>
      </c>
    </row>
    <row r="196" spans="2:6">
      <c r="B196" s="20" t="str">
        <f t="shared" si="13"/>
        <v/>
      </c>
      <c r="C196" s="88" t="str">
        <f>IF(AND('CALCOLO ROTTA 2'!I146&lt;0,'CALCOLO ROTTA 2'!I147&lt;0),"",'CALCOLO ROTTA 2'!F146)</f>
        <v/>
      </c>
      <c r="D196" s="88" t="str">
        <f>IF(AND('CALCOLO ROTTA 2'!I146&lt;0,'CALCOLO ROTTA 2'!I147&lt;0),"",'CALCOLO ROTTA 2'!G146)</f>
        <v/>
      </c>
      <c r="E196" s="83" t="e">
        <f>IF(AND(B196&gt;=$B$1,$B$4=FALSE),NA(),IFERROR('CALCOLO ROTTA 2'!Q146,NA()))</f>
        <v>#N/A</v>
      </c>
      <c r="F196" s="83" t="e">
        <f>IF(AND(B196&gt;=$B$1,$B$4=FALSE),NA(),IFERROR('CALCOLO ROTTA 2'!R146,NA()))</f>
        <v>#N/A</v>
      </c>
    </row>
    <row r="197" spans="2:6">
      <c r="B197" s="20" t="str">
        <f t="shared" si="13"/>
        <v/>
      </c>
      <c r="C197" s="88" t="str">
        <f>IF(AND('CALCOLO ROTTA 2'!I146&lt;0,'CALCOLO ROTTA 2'!I147&lt;0),"",'CALCOLO ROTTA 2'!F147)</f>
        <v/>
      </c>
      <c r="D197" s="88" t="str">
        <f>IF(AND('CALCOLO ROTTA 2'!I146&lt;0,'CALCOLO ROTTA 2'!I147&lt;0),"",'CALCOLO ROTTA 2'!G147)</f>
        <v/>
      </c>
      <c r="E197" s="83" t="e">
        <f>IF(AND(B197&gt;=$B$1,$B$4=FALSE),NA(),IFERROR('CALCOLO ROTTA 2'!Q147,NA()))</f>
        <v>#N/A</v>
      </c>
      <c r="F197" s="83" t="e">
        <f>IF(AND(B197&gt;=$B$1,$B$4=FALSE),NA(),IFERROR('CALCOLO ROTTA 2'!R147,NA()))</f>
        <v>#N/A</v>
      </c>
    </row>
    <row r="198" spans="2:6">
      <c r="B198" s="20" t="str">
        <f t="shared" si="13"/>
        <v/>
      </c>
      <c r="C198" s="88" t="str">
        <f>IF(AND('CALCOLO ROTTA 2'!I148&lt;0,'CALCOLO ROTTA 2'!I149&lt;0),"",'CALCOLO ROTTA 2'!F148)</f>
        <v/>
      </c>
      <c r="D198" s="88" t="str">
        <f>IF(AND('CALCOLO ROTTA 2'!I148&lt;0,'CALCOLO ROTTA 2'!I149&lt;0),"",'CALCOLO ROTTA 2'!G148)</f>
        <v/>
      </c>
      <c r="E198" s="83" t="e">
        <f>IF(AND(B198&gt;=$B$1,$B$4=FALSE),NA(),IFERROR('CALCOLO ROTTA 2'!Q148,NA()))</f>
        <v>#N/A</v>
      </c>
      <c r="F198" s="83" t="e">
        <f>IF(AND(B198&gt;=$B$1,$B$4=FALSE),NA(),IFERROR('CALCOLO ROTTA 2'!R148,NA()))</f>
        <v>#N/A</v>
      </c>
    </row>
    <row r="199" spans="2:6">
      <c r="B199" s="20" t="str">
        <f t="shared" si="13"/>
        <v/>
      </c>
      <c r="C199" s="88" t="str">
        <f>IF(AND('CALCOLO ROTTA 2'!I148&lt;0,'CALCOLO ROTTA 2'!I149&lt;0),"",'CALCOLO ROTTA 2'!F149)</f>
        <v/>
      </c>
      <c r="D199" s="88" t="str">
        <f>IF(AND('CALCOLO ROTTA 2'!I148&lt;0,'CALCOLO ROTTA 2'!I149&lt;0),"",'CALCOLO ROTTA 2'!G149)</f>
        <v/>
      </c>
      <c r="E199" s="83" t="e">
        <f>IF(AND(B199&gt;=$B$1,$B$4=FALSE),NA(),IFERROR('CALCOLO ROTTA 2'!Q149,NA()))</f>
        <v>#N/A</v>
      </c>
      <c r="F199" s="83" t="e">
        <f>IF(AND(B199&gt;=$B$1,$B$4=FALSE),NA(),IFERROR('CALCOLO ROTTA 2'!R149,NA()))</f>
        <v>#N/A</v>
      </c>
    </row>
    <row r="200" spans="2:6">
      <c r="B200" s="20" t="str">
        <f t="shared" si="13"/>
        <v/>
      </c>
      <c r="C200" s="88" t="str">
        <f>IF(AND('CALCOLO ROTTA 2'!I150&lt;0,'CALCOLO ROTTA 2'!I151&lt;0),"",'CALCOLO ROTTA 2'!F150)</f>
        <v/>
      </c>
      <c r="D200" s="88" t="str">
        <f>IF(AND('CALCOLO ROTTA 2'!I150&lt;0,'CALCOLO ROTTA 2'!I151&lt;0),"",'CALCOLO ROTTA 2'!G150)</f>
        <v/>
      </c>
      <c r="E200" s="83" t="e">
        <f>IF(AND(B200&gt;=$B$1,$B$4=FALSE),NA(),IFERROR('CALCOLO ROTTA 2'!Q150,NA()))</f>
        <v>#N/A</v>
      </c>
      <c r="F200" s="83" t="e">
        <f>IF(AND(B200&gt;=$B$1,$B$4=FALSE),NA(),IFERROR('CALCOLO ROTTA 2'!R150,NA()))</f>
        <v>#N/A</v>
      </c>
    </row>
    <row r="201" spans="2:6">
      <c r="B201" s="20" t="str">
        <f t="shared" si="13"/>
        <v/>
      </c>
      <c r="C201" s="88" t="str">
        <f>IF(AND('CALCOLO ROTTA 2'!I150&lt;0,'CALCOLO ROTTA 2'!I151&lt;0),"",'CALCOLO ROTTA 2'!F151)</f>
        <v/>
      </c>
      <c r="D201" s="88" t="str">
        <f>IF(AND('CALCOLO ROTTA 2'!I150&lt;0,'CALCOLO ROTTA 2'!I151&lt;0),"",'CALCOLO ROTTA 2'!G151)</f>
        <v/>
      </c>
      <c r="E201" s="83" t="e">
        <f>IF(AND(B201&gt;=$B$1,$B$4=FALSE),NA(),IFERROR('CALCOLO ROTTA 2'!Q151,NA()))</f>
        <v>#N/A</v>
      </c>
      <c r="F201" s="83" t="e">
        <f>IF(AND(B201&gt;=$B$1,$B$4=FALSE),NA(),IFERROR('CALCOLO ROTTA 2'!R151,NA()))</f>
        <v>#N/A</v>
      </c>
    </row>
    <row r="202" spans="2:6">
      <c r="B202" s="20" t="str">
        <f t="shared" si="13"/>
        <v/>
      </c>
      <c r="C202" s="88" t="str">
        <f>IF(AND('CALCOLO ROTTA 2'!I152&lt;0,'CALCOLO ROTTA 2'!I153&lt;0),"",'CALCOLO ROTTA 2'!F152)</f>
        <v/>
      </c>
      <c r="D202" s="88" t="str">
        <f>IF(AND('CALCOLO ROTTA 2'!I152&lt;0,'CALCOLO ROTTA 2'!I153&lt;0),"",'CALCOLO ROTTA 2'!G152)</f>
        <v/>
      </c>
      <c r="E202" s="83" t="e">
        <f>IF(AND(B202&gt;=$B$1,$B$4=FALSE),NA(),IFERROR('CALCOLO ROTTA 2'!Q152,NA()))</f>
        <v>#N/A</v>
      </c>
      <c r="F202" s="83" t="e">
        <f>IF(AND(B202&gt;=$B$1,$B$4=FALSE),NA(),IFERROR('CALCOLO ROTTA 2'!R152,NA()))</f>
        <v>#N/A</v>
      </c>
    </row>
    <row r="203" spans="2:6">
      <c r="B203" s="20" t="str">
        <f t="shared" si="13"/>
        <v/>
      </c>
      <c r="C203" s="88" t="str">
        <f>IF(AND('CALCOLO ROTTA 2'!I152&lt;0,'CALCOLO ROTTA 2'!I153&lt;0),"",'CALCOLO ROTTA 2'!F153)</f>
        <v/>
      </c>
      <c r="D203" s="88" t="str">
        <f>IF(AND('CALCOLO ROTTA 2'!I152&lt;0,'CALCOLO ROTTA 2'!I153&lt;0),"",'CALCOLO ROTTA 2'!G153)</f>
        <v/>
      </c>
      <c r="E203" s="83" t="e">
        <f>IF(AND(B203&gt;=$B$1,$B$4=FALSE),NA(),IFERROR('CALCOLO ROTTA 2'!Q153,NA()))</f>
        <v>#N/A</v>
      </c>
      <c r="F203" s="83" t="e">
        <f>IF(AND(B203&gt;=$B$1,$B$4=FALSE),NA(),IFERROR('CALCOLO ROTTA 2'!R153,NA()))</f>
        <v>#N/A</v>
      </c>
    </row>
    <row r="204" spans="2:6">
      <c r="B204" s="20" t="str">
        <f t="shared" si="13"/>
        <v/>
      </c>
      <c r="C204" s="88" t="str">
        <f>IF(AND('CALCOLO ROTTA 2'!I154&lt;0,'CALCOLO ROTTA 2'!I155&lt;0),"",'CALCOLO ROTTA 2'!F154)</f>
        <v/>
      </c>
      <c r="D204" s="88" t="str">
        <f>IF(AND('CALCOLO ROTTA 2'!I154&lt;0,'CALCOLO ROTTA 2'!I155&lt;0),"",'CALCOLO ROTTA 2'!G154)</f>
        <v/>
      </c>
      <c r="E204" s="83" t="e">
        <f>IF(AND(B204&gt;=$B$1,$B$4=FALSE),NA(),IFERROR('CALCOLO ROTTA 2'!Q154,NA()))</f>
        <v>#N/A</v>
      </c>
      <c r="F204" s="83" t="e">
        <f>IF(AND(B204&gt;=$B$1,$B$4=FALSE),NA(),IFERROR('CALCOLO ROTTA 2'!R154,NA()))</f>
        <v>#N/A</v>
      </c>
    </row>
    <row r="205" spans="2:6">
      <c r="B205" s="20" t="str">
        <f t="shared" si="13"/>
        <v/>
      </c>
      <c r="C205" s="88" t="str">
        <f>IF(AND('CALCOLO ROTTA 2'!I154&lt;0,'CALCOLO ROTTA 2'!I155&lt;0),"",'CALCOLO ROTTA 2'!F155)</f>
        <v/>
      </c>
      <c r="D205" s="88" t="str">
        <f>IF(AND('CALCOLO ROTTA 2'!I154&lt;0,'CALCOLO ROTTA 2'!I155&lt;0),"",'CALCOLO ROTTA 2'!G155)</f>
        <v/>
      </c>
      <c r="E205" s="83" t="e">
        <f>IF(AND(B205&gt;=$B$1,$B$4=FALSE),NA(),IFERROR('CALCOLO ROTTA 2'!Q155,NA()))</f>
        <v>#N/A</v>
      </c>
      <c r="F205" s="83" t="e">
        <f>IF(AND(B205&gt;=$B$1,$B$4=FALSE),NA(),IFERROR('CALCOLO ROTTA 2'!R155,NA()))</f>
        <v>#N/A</v>
      </c>
    </row>
    <row r="206" spans="2:6">
      <c r="B206" s="20" t="str">
        <f t="shared" si="13"/>
        <v/>
      </c>
      <c r="C206" s="88" t="str">
        <f>IF(AND('CALCOLO ROTTA 2'!I156&lt;0,'CALCOLO ROTTA 2'!I157&lt;0),"",'CALCOLO ROTTA 2'!F156)</f>
        <v/>
      </c>
      <c r="D206" s="88" t="str">
        <f>IF(AND('CALCOLO ROTTA 2'!I156&lt;0,'CALCOLO ROTTA 2'!I157&lt;0),"",'CALCOLO ROTTA 2'!G156)</f>
        <v/>
      </c>
      <c r="E206" s="83" t="e">
        <f>IF(AND(B206&gt;=$B$1,$B$4=FALSE),NA(),IFERROR('CALCOLO ROTTA 2'!Q156,NA()))</f>
        <v>#N/A</v>
      </c>
      <c r="F206" s="83" t="e">
        <f>IF(AND(B206&gt;=$B$1,$B$4=FALSE),NA(),IFERROR('CALCOLO ROTTA 2'!R156,NA()))</f>
        <v>#N/A</v>
      </c>
    </row>
    <row r="207" spans="2:6">
      <c r="B207" s="20" t="str">
        <f t="shared" si="13"/>
        <v/>
      </c>
      <c r="C207" s="88" t="str">
        <f>IF(AND('CALCOLO ROTTA 2'!I156&lt;0,'CALCOLO ROTTA 2'!I157&lt;0),"",'CALCOLO ROTTA 2'!F157)</f>
        <v/>
      </c>
      <c r="D207" s="88" t="str">
        <f>IF(AND('CALCOLO ROTTA 2'!I156&lt;0,'CALCOLO ROTTA 2'!I157&lt;0),"",'CALCOLO ROTTA 2'!G157)</f>
        <v/>
      </c>
      <c r="E207" s="83" t="e">
        <f>IF(AND(B207&gt;=$B$1,$B$4=FALSE),NA(),IFERROR('CALCOLO ROTTA 2'!Q157,NA()))</f>
        <v>#N/A</v>
      </c>
      <c r="F207" s="83" t="e">
        <f>IF(AND(B207&gt;=$B$1,$B$4=FALSE),NA(),IFERROR('CALCOLO ROTTA 2'!R157,NA()))</f>
        <v>#N/A</v>
      </c>
    </row>
    <row r="208" spans="2:6">
      <c r="B208" s="20" t="str">
        <f t="shared" si="13"/>
        <v/>
      </c>
      <c r="C208" s="88" t="str">
        <f>IF(AND('CALCOLO ROTTA 2'!I158&lt;0,'CALCOLO ROTTA 2'!I159&lt;0),"",'CALCOLO ROTTA 2'!F158)</f>
        <v/>
      </c>
      <c r="D208" s="88" t="str">
        <f>IF(AND('CALCOLO ROTTA 2'!I158&lt;0,'CALCOLO ROTTA 2'!I159&lt;0),"",'CALCOLO ROTTA 2'!G158)</f>
        <v/>
      </c>
      <c r="E208" s="83" t="e">
        <f>IF(AND(B208&gt;=$B$1,$B$4=FALSE),NA(),IFERROR('CALCOLO ROTTA 2'!Q158,NA()))</f>
        <v>#N/A</v>
      </c>
      <c r="F208" s="83" t="e">
        <f>IF(AND(B208&gt;=$B$1,$B$4=FALSE),NA(),IFERROR('CALCOLO ROTTA 2'!R158,NA()))</f>
        <v>#N/A</v>
      </c>
    </row>
    <row r="209" spans="2:6">
      <c r="B209" s="20" t="str">
        <f t="shared" si="13"/>
        <v/>
      </c>
      <c r="C209" s="88" t="str">
        <f>IF(AND('CALCOLO ROTTA 2'!I158&lt;0,'CALCOLO ROTTA 2'!I159&lt;0),"",'CALCOLO ROTTA 2'!F159)</f>
        <v/>
      </c>
      <c r="D209" s="88" t="str">
        <f>IF(AND('CALCOLO ROTTA 2'!I158&lt;0,'CALCOLO ROTTA 2'!I159&lt;0),"",'CALCOLO ROTTA 2'!G159)</f>
        <v/>
      </c>
      <c r="E209" s="83" t="e">
        <f>IF(AND(B209&gt;=$B$1,$B$4=FALSE),NA(),IFERROR('CALCOLO ROTTA 2'!Q159,NA()))</f>
        <v>#N/A</v>
      </c>
      <c r="F209" s="83" t="e">
        <f>IF(AND(B209&gt;=$B$1,$B$4=FALSE),NA(),IFERROR('CALCOLO ROTTA 2'!R159,NA()))</f>
        <v>#N/A</v>
      </c>
    </row>
    <row r="210" spans="2:6">
      <c r="B210" s="20" t="str">
        <f t="shared" si="13"/>
        <v/>
      </c>
      <c r="C210" s="88" t="str">
        <f>IF(AND('CALCOLO ROTTA 2'!I160&lt;0,'CALCOLO ROTTA 2'!I161&lt;0),"",'CALCOLO ROTTA 2'!F160)</f>
        <v/>
      </c>
      <c r="D210" s="88" t="str">
        <f>IF(AND('CALCOLO ROTTA 2'!I160&lt;0,'CALCOLO ROTTA 2'!I161&lt;0),"",'CALCOLO ROTTA 2'!G160)</f>
        <v/>
      </c>
      <c r="E210" s="83" t="e">
        <f>IF(AND(B210&gt;=$B$1,$B$4=FALSE),NA(),IFERROR('CALCOLO ROTTA 2'!Q160,NA()))</f>
        <v>#N/A</v>
      </c>
      <c r="F210" s="83" t="e">
        <f>IF(AND(B210&gt;=$B$1,$B$4=FALSE),NA(),IFERROR('CALCOLO ROTTA 2'!R160,NA()))</f>
        <v>#N/A</v>
      </c>
    </row>
    <row r="211" spans="2:6">
      <c r="B211" s="20" t="str">
        <f t="shared" si="13"/>
        <v/>
      </c>
      <c r="C211" s="88" t="str">
        <f>IF(AND('CALCOLO ROTTA 2'!I160&lt;0,'CALCOLO ROTTA 2'!I161&lt;0),"",'CALCOLO ROTTA 2'!F161)</f>
        <v/>
      </c>
      <c r="D211" s="88" t="str">
        <f>IF(AND('CALCOLO ROTTA 2'!I160&lt;0,'CALCOLO ROTTA 2'!I161&lt;0),"",'CALCOLO ROTTA 2'!G161)</f>
        <v/>
      </c>
      <c r="E211" s="83" t="e">
        <f>IF(AND(B211&gt;=$B$1,$B$4=FALSE),NA(),IFERROR('CALCOLO ROTTA 2'!Q161,NA()))</f>
        <v>#N/A</v>
      </c>
      <c r="F211" s="83" t="e">
        <f>IF(AND(B211&gt;=$B$1,$B$4=FALSE),NA(),IFERROR('CALCOLO ROTTA 2'!R161,NA()))</f>
        <v>#N/A</v>
      </c>
    </row>
    <row r="212" spans="2:6">
      <c r="B212" s="20" t="str">
        <f t="shared" si="13"/>
        <v/>
      </c>
      <c r="C212" s="88" t="str">
        <f>IF(AND('CALCOLO ROTTA 2'!I162&lt;0,'CALCOLO ROTTA 2'!I163&lt;0),"",'CALCOLO ROTTA 2'!F162)</f>
        <v/>
      </c>
      <c r="D212" s="88" t="str">
        <f>IF(AND('CALCOLO ROTTA 2'!I162&lt;0,'CALCOLO ROTTA 2'!I163&lt;0),"",'CALCOLO ROTTA 2'!G162)</f>
        <v/>
      </c>
      <c r="E212" s="83" t="e">
        <f>IF(AND(B212&gt;=$B$1,$B$4=FALSE),NA(),IFERROR('CALCOLO ROTTA 2'!Q162,NA()))</f>
        <v>#N/A</v>
      </c>
      <c r="F212" s="83" t="e">
        <f>IF(AND(B212&gt;=$B$1,$B$4=FALSE),NA(),IFERROR('CALCOLO ROTTA 2'!R162,NA()))</f>
        <v>#N/A</v>
      </c>
    </row>
    <row r="213" spans="2:6">
      <c r="B213" s="20" t="str">
        <f t="shared" si="13"/>
        <v/>
      </c>
      <c r="C213" s="88" t="str">
        <f>IF(AND('CALCOLO ROTTA 2'!I162&lt;0,'CALCOLO ROTTA 2'!I163&lt;0),"",'CALCOLO ROTTA 2'!F163)</f>
        <v/>
      </c>
      <c r="D213" s="88" t="str">
        <f>IF(AND('CALCOLO ROTTA 2'!I162&lt;0,'CALCOLO ROTTA 2'!I163&lt;0),"",'CALCOLO ROTTA 2'!G163)</f>
        <v/>
      </c>
      <c r="E213" s="83" t="e">
        <f>IF(AND(B213&gt;=$B$1,$B$4=FALSE),NA(),IFERROR('CALCOLO ROTTA 2'!Q163,NA()))</f>
        <v>#N/A</v>
      </c>
      <c r="F213" s="83" t="e">
        <f>IF(AND(B213&gt;=$B$1,$B$4=FALSE),NA(),IFERROR('CALCOLO ROTTA 2'!R163,NA()))</f>
        <v>#N/A</v>
      </c>
    </row>
    <row r="214" spans="2:6">
      <c r="B214" s="20" t="str">
        <f t="shared" si="13"/>
        <v/>
      </c>
      <c r="C214" s="88" t="str">
        <f>IF(AND('CALCOLO ROTTA 2'!I164&lt;0,'CALCOLO ROTTA 2'!I165&lt;0),"",'CALCOLO ROTTA 2'!F164)</f>
        <v/>
      </c>
      <c r="D214" s="88" t="str">
        <f>IF(AND('CALCOLO ROTTA 2'!I164&lt;0,'CALCOLO ROTTA 2'!I165&lt;0),"",'CALCOLO ROTTA 2'!G164)</f>
        <v/>
      </c>
      <c r="E214" s="83" t="e">
        <f>IF(AND(B214&gt;=$B$1,$B$4=FALSE),NA(),IFERROR('CALCOLO ROTTA 2'!Q164,NA()))</f>
        <v>#N/A</v>
      </c>
      <c r="F214" s="83" t="e">
        <f>IF(AND(B214&gt;=$B$1,$B$4=FALSE),NA(),IFERROR('CALCOLO ROTTA 2'!R164,NA()))</f>
        <v>#N/A</v>
      </c>
    </row>
    <row r="215" spans="2:6">
      <c r="B215" s="20" t="str">
        <f t="shared" si="13"/>
        <v/>
      </c>
      <c r="C215" s="88" t="str">
        <f>IF(AND('CALCOLO ROTTA 2'!I164&lt;0,'CALCOLO ROTTA 2'!I165&lt;0),"",'CALCOLO ROTTA 2'!F165)</f>
        <v/>
      </c>
      <c r="D215" s="88" t="str">
        <f>IF(AND('CALCOLO ROTTA 2'!I164&lt;0,'CALCOLO ROTTA 2'!I165&lt;0),"",'CALCOLO ROTTA 2'!G165)</f>
        <v/>
      </c>
      <c r="E215" s="83" t="e">
        <f>IF(AND(B215&gt;=$B$1,$B$4=FALSE),NA(),IFERROR('CALCOLO ROTTA 2'!Q165,NA()))</f>
        <v>#N/A</v>
      </c>
      <c r="F215" s="83" t="e">
        <f>IF(AND(B215&gt;=$B$1,$B$4=FALSE),NA(),IFERROR('CALCOLO ROTTA 2'!R165,NA()))</f>
        <v>#N/A</v>
      </c>
    </row>
    <row r="216" spans="2:6">
      <c r="B216" s="20" t="str">
        <f t="shared" si="13"/>
        <v/>
      </c>
      <c r="C216" s="88" t="str">
        <f>IF(AND('CALCOLO ROTTA 2'!I166&lt;0,'CALCOLO ROTTA 2'!I167&lt;0),"",'CALCOLO ROTTA 2'!F166)</f>
        <v/>
      </c>
      <c r="D216" s="88" t="str">
        <f>IF(AND('CALCOLO ROTTA 2'!I166&lt;0,'CALCOLO ROTTA 2'!I167&lt;0),"",'CALCOLO ROTTA 2'!G166)</f>
        <v/>
      </c>
      <c r="E216" s="83" t="e">
        <f>IF(AND(B216&gt;=$B$1,$B$4=FALSE),NA(),IFERROR('CALCOLO ROTTA 2'!Q166,NA()))</f>
        <v>#N/A</v>
      </c>
      <c r="F216" s="83" t="e">
        <f>IF(AND(B216&gt;=$B$1,$B$4=FALSE),NA(),IFERROR('CALCOLO ROTTA 2'!R166,NA()))</f>
        <v>#N/A</v>
      </c>
    </row>
    <row r="217" spans="2:6">
      <c r="B217" s="20" t="str">
        <f t="shared" si="13"/>
        <v/>
      </c>
      <c r="C217" s="88" t="str">
        <f>IF(AND('CALCOLO ROTTA 2'!I166&lt;0,'CALCOLO ROTTA 2'!I167&lt;0),"",'CALCOLO ROTTA 2'!F167)</f>
        <v/>
      </c>
      <c r="D217" s="88" t="str">
        <f>IF(AND('CALCOLO ROTTA 2'!I166&lt;0,'CALCOLO ROTTA 2'!I167&lt;0),"",'CALCOLO ROTTA 2'!G167)</f>
        <v/>
      </c>
      <c r="E217" s="83" t="e">
        <f>IF(AND(B217&gt;=$B$1,$B$4=FALSE),NA(),IFERROR('CALCOLO ROTTA 2'!Q167,NA()))</f>
        <v>#N/A</v>
      </c>
      <c r="F217" s="83" t="e">
        <f>IF(AND(B217&gt;=$B$1,$B$4=FALSE),NA(),IFERROR('CALCOLO ROTTA 2'!R167,NA()))</f>
        <v>#N/A</v>
      </c>
    </row>
    <row r="218" spans="2:6">
      <c r="B218" s="20" t="str">
        <f t="shared" si="13"/>
        <v/>
      </c>
      <c r="C218" s="88" t="str">
        <f>IF(AND('CALCOLO ROTTA 2'!I168&lt;0,'CALCOLO ROTTA 2'!I169&lt;0),"",'CALCOLO ROTTA 2'!F168)</f>
        <v/>
      </c>
      <c r="D218" s="88" t="str">
        <f>IF(AND('CALCOLO ROTTA 2'!I168&lt;0,'CALCOLO ROTTA 2'!I169&lt;0),"",'CALCOLO ROTTA 2'!G168)</f>
        <v/>
      </c>
      <c r="E218" s="83" t="e">
        <f>IF(AND(B218&gt;=$B$1,$B$4=FALSE),NA(),IFERROR('CALCOLO ROTTA 2'!Q168,NA()))</f>
        <v>#N/A</v>
      </c>
      <c r="F218" s="83" t="e">
        <f>IF(AND(B218&gt;=$B$1,$B$4=FALSE),NA(),IFERROR('CALCOLO ROTTA 2'!R168,NA()))</f>
        <v>#N/A</v>
      </c>
    </row>
    <row r="219" spans="2:6">
      <c r="B219" s="20" t="str">
        <f t="shared" si="13"/>
        <v/>
      </c>
      <c r="C219" s="88" t="str">
        <f>IF(AND('CALCOLO ROTTA 2'!I168&lt;0,'CALCOLO ROTTA 2'!I169&lt;0),"",'CALCOLO ROTTA 2'!F169)</f>
        <v/>
      </c>
      <c r="D219" s="88" t="str">
        <f>IF(AND('CALCOLO ROTTA 2'!I168&lt;0,'CALCOLO ROTTA 2'!I169&lt;0),"",'CALCOLO ROTTA 2'!G169)</f>
        <v/>
      </c>
      <c r="E219" s="83" t="e">
        <f>IF(AND(B219&gt;=$B$1,$B$4=FALSE),NA(),IFERROR('CALCOLO ROTTA 2'!Q169,NA()))</f>
        <v>#N/A</v>
      </c>
      <c r="F219" s="83" t="e">
        <f>IF(AND(B219&gt;=$B$1,$B$4=FALSE),NA(),IFERROR('CALCOLO ROTTA 2'!R169,NA()))</f>
        <v>#N/A</v>
      </c>
    </row>
    <row r="220" spans="2:6">
      <c r="B220" s="20" t="str">
        <f t="shared" si="13"/>
        <v/>
      </c>
      <c r="C220" s="88" t="str">
        <f>IF(AND('CALCOLO ROTTA 2'!I170&lt;0,'CALCOLO ROTTA 2'!I171&lt;0),"",'CALCOLO ROTTA 2'!F170)</f>
        <v/>
      </c>
      <c r="D220" s="88" t="str">
        <f>IF(AND('CALCOLO ROTTA 2'!I170&lt;0,'CALCOLO ROTTA 2'!I171&lt;0),"",'CALCOLO ROTTA 2'!G170)</f>
        <v/>
      </c>
      <c r="E220" s="83" t="e">
        <f>IF(AND(B220&gt;=$B$1,$B$4=FALSE),NA(),IFERROR('CALCOLO ROTTA 2'!Q170,NA()))</f>
        <v>#N/A</v>
      </c>
      <c r="F220" s="83" t="e">
        <f>IF(AND(B220&gt;=$B$1,$B$4=FALSE),NA(),IFERROR('CALCOLO ROTTA 2'!R170,NA()))</f>
        <v>#N/A</v>
      </c>
    </row>
    <row r="221" spans="2:6">
      <c r="B221" s="20" t="str">
        <f t="shared" si="13"/>
        <v/>
      </c>
      <c r="C221" s="88" t="str">
        <f>IF(AND('CALCOLO ROTTA 2'!I170&lt;0,'CALCOLO ROTTA 2'!I171&lt;0),"",'CALCOLO ROTTA 2'!F171)</f>
        <v/>
      </c>
      <c r="D221" s="88" t="str">
        <f>IF(AND('CALCOLO ROTTA 2'!I170&lt;0,'CALCOLO ROTTA 2'!I171&lt;0),"",'CALCOLO ROTTA 2'!G171)</f>
        <v/>
      </c>
      <c r="E221" s="83" t="e">
        <f>IF(AND(B221&gt;=$B$1,$B$4=FALSE),NA(),IFERROR('CALCOLO ROTTA 2'!Q171,NA()))</f>
        <v>#N/A</v>
      </c>
      <c r="F221" s="83" t="e">
        <f>IF(AND(B221&gt;=$B$1,$B$4=FALSE),NA(),IFERROR('CALCOLO ROTTA 2'!R171,NA()))</f>
        <v>#N/A</v>
      </c>
    </row>
    <row r="222" spans="2:6">
      <c r="B222" s="20" t="str">
        <f t="shared" si="13"/>
        <v/>
      </c>
      <c r="C222" s="88" t="str">
        <f>IF(AND('CALCOLO ROTTA 2'!I172&lt;0,'CALCOLO ROTTA 2'!I173&lt;0),"",'CALCOLO ROTTA 2'!F172)</f>
        <v/>
      </c>
      <c r="D222" s="88" t="str">
        <f>IF(AND('CALCOLO ROTTA 2'!I172&lt;0,'CALCOLO ROTTA 2'!I173&lt;0),"",'CALCOLO ROTTA 2'!G172)</f>
        <v/>
      </c>
      <c r="E222" s="83" t="e">
        <f>IF(AND(B222&gt;=$B$1,$B$4=FALSE),NA(),IFERROR('CALCOLO ROTTA 2'!Q172,NA()))</f>
        <v>#N/A</v>
      </c>
      <c r="F222" s="83" t="e">
        <f>IF(AND(B222&gt;=$B$1,$B$4=FALSE),NA(),IFERROR('CALCOLO ROTTA 2'!R172,NA()))</f>
        <v>#N/A</v>
      </c>
    </row>
    <row r="223" spans="2:6">
      <c r="B223" s="20" t="str">
        <f t="shared" si="13"/>
        <v/>
      </c>
      <c r="C223" s="88" t="str">
        <f>IF(AND('CALCOLO ROTTA 2'!I172&lt;0,'CALCOLO ROTTA 2'!I173&lt;0),"",'CALCOLO ROTTA 2'!F173)</f>
        <v/>
      </c>
      <c r="D223" s="88" t="str">
        <f>IF(AND('CALCOLO ROTTA 2'!I172&lt;0,'CALCOLO ROTTA 2'!I173&lt;0),"",'CALCOLO ROTTA 2'!G173)</f>
        <v/>
      </c>
      <c r="E223" s="83" t="e">
        <f>IF(AND(B223&gt;=$B$1,$B$4=FALSE),NA(),IFERROR('CALCOLO ROTTA 2'!Q173,NA()))</f>
        <v>#N/A</v>
      </c>
      <c r="F223" s="83" t="e">
        <f>IF(AND(B223&gt;=$B$1,$B$4=FALSE),NA(),IFERROR('CALCOLO ROTTA 2'!R173,NA()))</f>
        <v>#N/A</v>
      </c>
    </row>
    <row r="224" spans="2:6">
      <c r="B224" s="20" t="str">
        <f t="shared" si="13"/>
        <v/>
      </c>
      <c r="C224" s="88" t="str">
        <f>IF(AND('CALCOLO ROTTA 2'!I174&lt;0,'CALCOLO ROTTA 2'!I175&lt;0),"",'CALCOLO ROTTA 2'!F174)</f>
        <v/>
      </c>
      <c r="D224" s="88" t="str">
        <f>IF(AND('CALCOLO ROTTA 2'!I174&lt;0,'CALCOLO ROTTA 2'!I175&lt;0),"",'CALCOLO ROTTA 2'!G174)</f>
        <v/>
      </c>
      <c r="E224" s="83" t="e">
        <f>IF(AND(B224&gt;=$B$1,$B$4=FALSE),NA(),IFERROR('CALCOLO ROTTA 2'!Q174,NA()))</f>
        <v>#N/A</v>
      </c>
      <c r="F224" s="83" t="e">
        <f>IF(AND(B224&gt;=$B$1,$B$4=FALSE),NA(),IFERROR('CALCOLO ROTTA 2'!R174,NA()))</f>
        <v>#N/A</v>
      </c>
    </row>
    <row r="225" spans="2:6">
      <c r="B225" s="20" t="str">
        <f t="shared" si="13"/>
        <v/>
      </c>
      <c r="C225" s="88" t="str">
        <f>IF(AND('CALCOLO ROTTA 2'!I174&lt;0,'CALCOLO ROTTA 2'!I175&lt;0),"",'CALCOLO ROTTA 2'!F175)</f>
        <v/>
      </c>
      <c r="D225" s="88" t="str">
        <f>IF(AND('CALCOLO ROTTA 2'!I174&lt;0,'CALCOLO ROTTA 2'!I175&lt;0),"",'CALCOLO ROTTA 2'!G175)</f>
        <v/>
      </c>
      <c r="E225" s="83" t="e">
        <f>IF(AND(B225&gt;=$B$1,$B$4=FALSE),NA(),IFERROR('CALCOLO ROTTA 2'!Q175,NA()))</f>
        <v>#N/A</v>
      </c>
      <c r="F225" s="83" t="e">
        <f>IF(AND(B225&gt;=$B$1,$B$4=FALSE),NA(),IFERROR('CALCOLO ROTTA 2'!R175,NA()))</f>
        <v>#N/A</v>
      </c>
    </row>
    <row r="226" spans="2:6">
      <c r="E226" s="20"/>
      <c r="F226" s="20"/>
    </row>
  </sheetData>
  <sheetProtection algorithmName="SHA-512" hashValue="MzcEFEeeTOAMU2E6ym4t98EmZQRLfqmblAB4+DQFAqiOeMWH1r8T23E4auBglNGGOAX6EBHeAPAR4nejcq0bPw==" saltValue="K/AZKohCFL5kTY2LPgmtQw==" spinCount="100000" sheet="1" objects="1" scenarios="1" selectLockedCells="1" selectUnlockedCells="1"/>
  <mergeCells count="4">
    <mergeCell ref="E1:F1"/>
    <mergeCell ref="D5:F5"/>
    <mergeCell ref="B15:B22"/>
    <mergeCell ref="D13:G13"/>
  </mergeCells>
  <pageMargins left="0.7" right="0.7" top="0.75" bottom="0.75" header="0.3" footer="0.3"/>
  <pageSetup paperSize="9" orientation="portrait" horizontalDpi="4294967293"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7"/>
  <dimension ref="A1:AT100"/>
  <sheetViews>
    <sheetView showGridLines="0" workbookViewId="0">
      <selection activeCell="C15" sqref="C15"/>
    </sheetView>
  </sheetViews>
  <sheetFormatPr defaultColWidth="9.140625" defaultRowHeight="15"/>
  <cols>
    <col min="1" max="1" width="18.5703125" style="20" bestFit="1" customWidth="1"/>
    <col min="2" max="2" width="12" style="20" bestFit="1" customWidth="1"/>
    <col min="3" max="3" width="11.140625" style="20" bestFit="1" customWidth="1"/>
    <col min="4" max="4" width="12.85546875" style="20" bestFit="1" customWidth="1"/>
    <col min="5" max="5" width="12.42578125" style="20" bestFit="1" customWidth="1"/>
    <col min="6" max="6" width="10.5703125" style="20" bestFit="1" customWidth="1"/>
    <col min="7" max="7" width="12.140625" style="20" bestFit="1" customWidth="1"/>
    <col min="8" max="8" width="16.42578125" style="20" bestFit="1" customWidth="1"/>
    <col min="9" max="9" width="11.42578125" style="20" bestFit="1" customWidth="1"/>
    <col min="10" max="10" width="13.140625" style="20" bestFit="1" customWidth="1"/>
    <col min="11" max="11" width="11.42578125" style="20" bestFit="1" customWidth="1"/>
    <col min="12" max="12" width="13.140625" style="20" bestFit="1" customWidth="1"/>
    <col min="13" max="13" width="11.42578125" style="20" bestFit="1" customWidth="1"/>
    <col min="14" max="14" width="13.140625" style="20" bestFit="1" customWidth="1"/>
    <col min="15" max="15" width="11.42578125" style="20" bestFit="1" customWidth="1"/>
    <col min="16" max="16" width="13.140625" style="20" bestFit="1" customWidth="1"/>
    <col min="17" max="17" width="11.42578125" style="20" bestFit="1" customWidth="1"/>
    <col min="18" max="18" width="13.140625" style="20" bestFit="1" customWidth="1"/>
    <col min="19" max="19" width="11.42578125" style="20" bestFit="1" customWidth="1"/>
    <col min="20" max="20" width="13.140625" style="20" bestFit="1" customWidth="1"/>
    <col min="21" max="21" width="11.42578125" style="20" bestFit="1" customWidth="1"/>
    <col min="22" max="22" width="13.140625" style="20" bestFit="1" customWidth="1"/>
    <col min="23" max="23" width="11.42578125" style="20" bestFit="1" customWidth="1"/>
    <col min="24" max="24" width="13.140625" style="20" bestFit="1" customWidth="1"/>
    <col min="25" max="25" width="11.42578125" style="20" bestFit="1" customWidth="1"/>
    <col min="26" max="26" width="13.140625" style="20" bestFit="1" customWidth="1"/>
    <col min="27" max="27" width="12.42578125" style="20" bestFit="1" customWidth="1"/>
    <col min="28" max="28" width="14.140625" style="20" bestFit="1" customWidth="1"/>
    <col min="29" max="29" width="12.42578125" style="20" bestFit="1" customWidth="1"/>
    <col min="30" max="30" width="14.140625" style="20" bestFit="1" customWidth="1"/>
    <col min="31" max="31" width="12.42578125" style="20" bestFit="1" customWidth="1"/>
    <col min="32" max="32" width="14.140625" style="20" bestFit="1" customWidth="1"/>
    <col min="33" max="33" width="12.42578125" style="20" bestFit="1" customWidth="1"/>
    <col min="34" max="34" width="14.140625" style="20" bestFit="1" customWidth="1"/>
    <col min="35" max="35" width="12.42578125" style="20" bestFit="1" customWidth="1"/>
    <col min="36" max="36" width="14.140625" style="20" bestFit="1" customWidth="1"/>
    <col min="37" max="37" width="12.42578125" style="20" bestFit="1" customWidth="1"/>
    <col min="38" max="38" width="14.140625" style="20" bestFit="1" customWidth="1"/>
    <col min="39" max="39" width="13.28515625" style="20" bestFit="1" customWidth="1"/>
    <col min="40" max="40" width="11.28515625" style="20" bestFit="1" customWidth="1"/>
    <col min="41" max="41" width="11.85546875" style="20" bestFit="1" customWidth="1"/>
    <col min="42" max="42" width="13.5703125" style="20" bestFit="1" customWidth="1"/>
    <col min="43" max="43" width="15.140625" style="20" bestFit="1" customWidth="1"/>
    <col min="44" max="44" width="17.28515625" style="20" bestFit="1" customWidth="1"/>
    <col min="45" max="45" width="18.5703125" style="20" bestFit="1" customWidth="1"/>
    <col min="46" max="46" width="17.7109375" style="20" bestFit="1" customWidth="1"/>
    <col min="47" max="16384" width="9.140625" style="20"/>
  </cols>
  <sheetData>
    <row r="1" spans="1:46">
      <c r="A1" s="20" t="s">
        <v>0</v>
      </c>
      <c r="B1" s="20" t="s">
        <v>1</v>
      </c>
      <c r="C1" s="20" t="s">
        <v>2</v>
      </c>
      <c r="D1" s="20" t="s">
        <v>3</v>
      </c>
      <c r="E1" s="20" t="s">
        <v>4</v>
      </c>
      <c r="F1" s="20" t="s">
        <v>5</v>
      </c>
      <c r="G1" s="20" t="s">
        <v>6</v>
      </c>
      <c r="H1" s="20" t="s">
        <v>7</v>
      </c>
      <c r="I1" s="20" t="s">
        <v>8</v>
      </c>
      <c r="J1" s="20" t="s">
        <v>9</v>
      </c>
      <c r="K1" s="20" t="s">
        <v>10</v>
      </c>
      <c r="L1" s="20" t="s">
        <v>11</v>
      </c>
      <c r="M1" s="20" t="s">
        <v>12</v>
      </c>
      <c r="N1" s="20" t="s">
        <v>13</v>
      </c>
      <c r="O1" s="20" t="s">
        <v>14</v>
      </c>
      <c r="P1" s="20" t="s">
        <v>15</v>
      </c>
      <c r="Q1" s="20" t="s">
        <v>16</v>
      </c>
      <c r="R1" s="20" t="s">
        <v>17</v>
      </c>
      <c r="S1" s="20" t="s">
        <v>18</v>
      </c>
      <c r="T1" s="20" t="s">
        <v>19</v>
      </c>
      <c r="U1" s="20" t="s">
        <v>20</v>
      </c>
      <c r="V1" s="20" t="s">
        <v>21</v>
      </c>
      <c r="W1" s="20" t="s">
        <v>22</v>
      </c>
      <c r="X1" s="20" t="s">
        <v>23</v>
      </c>
      <c r="Y1" s="20" t="s">
        <v>24</v>
      </c>
      <c r="Z1" s="20" t="s">
        <v>25</v>
      </c>
      <c r="AA1" s="20" t="s">
        <v>26</v>
      </c>
      <c r="AB1" s="20" t="s">
        <v>27</v>
      </c>
      <c r="AC1" s="20" t="s">
        <v>28</v>
      </c>
      <c r="AD1" s="20" t="s">
        <v>29</v>
      </c>
      <c r="AE1" s="20" t="s">
        <v>30</v>
      </c>
      <c r="AF1" s="20" t="s">
        <v>31</v>
      </c>
      <c r="AG1" s="20" t="s">
        <v>32</v>
      </c>
      <c r="AH1" s="20" t="s">
        <v>33</v>
      </c>
      <c r="AI1" s="20" t="s">
        <v>34</v>
      </c>
      <c r="AJ1" s="20" t="s">
        <v>35</v>
      </c>
      <c r="AK1" s="20" t="s">
        <v>36</v>
      </c>
      <c r="AL1" s="20" t="s">
        <v>37</v>
      </c>
      <c r="AM1" s="20" t="s">
        <v>38</v>
      </c>
      <c r="AN1" s="20" t="s">
        <v>39</v>
      </c>
      <c r="AO1" s="20" t="s">
        <v>40</v>
      </c>
      <c r="AP1" s="20" t="s">
        <v>41</v>
      </c>
      <c r="AQ1" s="20" t="s">
        <v>42</v>
      </c>
      <c r="AR1" s="20" t="s">
        <v>43</v>
      </c>
      <c r="AS1" s="20" t="s">
        <v>44</v>
      </c>
      <c r="AT1" s="20" t="s">
        <v>45</v>
      </c>
    </row>
    <row r="2" spans="1:46">
      <c r="A2" s="14">
        <f>ROTTE!I29</f>
        <v>45.862993712329398</v>
      </c>
      <c r="B2" s="14">
        <f>ROTTE!J29</f>
        <v>10.768091512662901</v>
      </c>
      <c r="C2" s="15">
        <f>'DATI CAMERA E ROTTA'!$B$14</f>
        <v>60</v>
      </c>
      <c r="D2" s="20">
        <v>0</v>
      </c>
      <c r="E2" s="20">
        <v>0.2</v>
      </c>
      <c r="F2" s="20">
        <v>0</v>
      </c>
      <c r="G2" s="20">
        <v>0</v>
      </c>
      <c r="H2" s="20">
        <v>0</v>
      </c>
      <c r="I2" s="20">
        <v>-1</v>
      </c>
      <c r="J2" s="20">
        <v>0</v>
      </c>
      <c r="K2" s="20">
        <v>-1</v>
      </c>
      <c r="L2" s="20">
        <v>0</v>
      </c>
      <c r="M2" s="20">
        <v>-1</v>
      </c>
      <c r="N2" s="20">
        <v>0</v>
      </c>
      <c r="O2" s="20">
        <v>-1</v>
      </c>
      <c r="P2" s="20">
        <v>0</v>
      </c>
      <c r="Q2" s="20">
        <v>-1</v>
      </c>
      <c r="R2" s="20">
        <v>0</v>
      </c>
      <c r="S2" s="20">
        <v>-1</v>
      </c>
      <c r="T2" s="20">
        <v>0</v>
      </c>
      <c r="U2" s="20">
        <v>-1</v>
      </c>
      <c r="V2" s="20">
        <v>0</v>
      </c>
      <c r="W2" s="20">
        <v>-1</v>
      </c>
      <c r="X2" s="20">
        <v>0</v>
      </c>
      <c r="Y2" s="20">
        <v>-1</v>
      </c>
      <c r="Z2" s="20">
        <v>0</v>
      </c>
      <c r="AA2" s="20">
        <v>-1</v>
      </c>
      <c r="AB2" s="20">
        <v>0</v>
      </c>
      <c r="AC2" s="20">
        <v>-1</v>
      </c>
      <c r="AD2" s="20">
        <v>0</v>
      </c>
      <c r="AE2" s="20">
        <v>-1</v>
      </c>
      <c r="AF2" s="20">
        <v>0</v>
      </c>
      <c r="AG2" s="20">
        <v>-1</v>
      </c>
      <c r="AH2" s="20">
        <v>0</v>
      </c>
      <c r="AI2" s="20">
        <v>-1</v>
      </c>
      <c r="AJ2" s="20">
        <v>0</v>
      </c>
      <c r="AK2" s="20">
        <v>-1</v>
      </c>
      <c r="AL2" s="20">
        <v>0</v>
      </c>
      <c r="AM2" s="20">
        <f>IF('CALCOLO ROTTA 1'!$B$66=1,0,1)</f>
        <v>1</v>
      </c>
      <c r="AN2" s="20">
        <f>'DATI CAMERA E ROTTA'!$B$36</f>
        <v>5</v>
      </c>
      <c r="AO2" s="20">
        <v>0</v>
      </c>
      <c r="AP2" s="20">
        <v>0</v>
      </c>
      <c r="AQ2" s="20">
        <v>0</v>
      </c>
      <c r="AR2" s="20">
        <v>0</v>
      </c>
      <c r="AS2" s="20">
        <v>-1</v>
      </c>
      <c r="AT2" s="20">
        <v>-1</v>
      </c>
    </row>
    <row r="3" spans="1:46">
      <c r="A3" s="14">
        <f>ROTTE!I30</f>
        <v>45.86397244519911</v>
      </c>
      <c r="B3" s="14">
        <f>ROTTE!J30</f>
        <v>10.7684348354168</v>
      </c>
      <c r="C3" s="15">
        <f>'DATI CAMERA E ROTTA'!$B$14</f>
        <v>60</v>
      </c>
      <c r="D3" s="20">
        <v>0</v>
      </c>
      <c r="E3" s="20">
        <v>0.2</v>
      </c>
      <c r="F3" s="20">
        <v>0</v>
      </c>
      <c r="G3" s="20">
        <v>0</v>
      </c>
      <c r="H3" s="20">
        <v>0</v>
      </c>
      <c r="I3" s="20">
        <v>5</v>
      </c>
      <c r="J3" s="20">
        <f>'DATI CAMERA E ROTTA'!B39</f>
        <v>-90</v>
      </c>
      <c r="K3" s="20">
        <f>IF('CALCOLO ROTTA 1'!$B$67=1,1,-1)</f>
        <v>1</v>
      </c>
      <c r="L3" s="20">
        <v>0</v>
      </c>
      <c r="M3" s="20">
        <v>-1</v>
      </c>
      <c r="N3" s="20">
        <v>0</v>
      </c>
      <c r="O3" s="20">
        <v>-1</v>
      </c>
      <c r="P3" s="20">
        <v>0</v>
      </c>
      <c r="Q3" s="20">
        <v>-1</v>
      </c>
      <c r="R3" s="20">
        <v>0</v>
      </c>
      <c r="S3" s="20">
        <v>-1</v>
      </c>
      <c r="T3" s="20">
        <v>0</v>
      </c>
      <c r="U3" s="20">
        <v>-1</v>
      </c>
      <c r="V3" s="20">
        <v>0</v>
      </c>
      <c r="W3" s="20">
        <v>-1</v>
      </c>
      <c r="X3" s="20">
        <v>0</v>
      </c>
      <c r="Y3" s="20">
        <v>-1</v>
      </c>
      <c r="Z3" s="20">
        <v>0</v>
      </c>
      <c r="AA3" s="20">
        <v>-1</v>
      </c>
      <c r="AB3" s="20">
        <v>0</v>
      </c>
      <c r="AC3" s="20">
        <v>-1</v>
      </c>
      <c r="AD3" s="20">
        <v>0</v>
      </c>
      <c r="AE3" s="20">
        <v>-1</v>
      </c>
      <c r="AF3" s="20">
        <v>0</v>
      </c>
      <c r="AG3" s="20">
        <v>-1</v>
      </c>
      <c r="AH3" s="20">
        <v>0</v>
      </c>
      <c r="AI3" s="20">
        <v>-1</v>
      </c>
      <c r="AJ3" s="20">
        <v>0</v>
      </c>
      <c r="AK3" s="20">
        <v>-1</v>
      </c>
      <c r="AL3" s="20">
        <v>0</v>
      </c>
      <c r="AM3" s="20">
        <f>IF('CALCOLO ROTTA 1'!$B$66=1,0,1)</f>
        <v>1</v>
      </c>
      <c r="AN3" s="20">
        <f>'DATI CAMERA E ROTTA'!$B$36</f>
        <v>5</v>
      </c>
      <c r="AO3" s="20">
        <v>0</v>
      </c>
      <c r="AP3" s="20">
        <v>0</v>
      </c>
      <c r="AQ3" s="20">
        <v>0</v>
      </c>
      <c r="AR3" s="20">
        <v>0</v>
      </c>
      <c r="AS3" s="20">
        <f>IF(A4="",-1,'DATI CAMERA E ROTTA'!$B$33)</f>
        <v>2</v>
      </c>
      <c r="AT3" s="20">
        <v>-1</v>
      </c>
    </row>
    <row r="4" spans="1:46">
      <c r="A4" s="14">
        <f>ROTTE!I31</f>
        <v>45.861985076458701</v>
      </c>
      <c r="B4" s="14">
        <f>ROTTE!J31</f>
        <v>10.773563219053298</v>
      </c>
      <c r="C4" s="15">
        <f>'DATI CAMERA E ROTTA'!$B$14</f>
        <v>60</v>
      </c>
      <c r="D4" s="20">
        <v>0</v>
      </c>
      <c r="E4" s="20">
        <v>0.2</v>
      </c>
      <c r="F4" s="20">
        <v>0</v>
      </c>
      <c r="G4" s="20">
        <v>0</v>
      </c>
      <c r="H4" s="20">
        <v>0</v>
      </c>
      <c r="I4" s="20">
        <f>IF('CALCOLO ROTTA 1'!$B$67=1,1,-1)</f>
        <v>1</v>
      </c>
      <c r="J4" s="20">
        <v>0</v>
      </c>
      <c r="K4" s="20">
        <f>IF(A5="",5,-1)</f>
        <v>-1</v>
      </c>
      <c r="L4" s="20">
        <v>0</v>
      </c>
      <c r="M4" s="20">
        <v>-1</v>
      </c>
      <c r="N4" s="20">
        <v>0</v>
      </c>
      <c r="O4" s="20">
        <v>-1</v>
      </c>
      <c r="P4" s="20">
        <v>0</v>
      </c>
      <c r="Q4" s="20">
        <v>-1</v>
      </c>
      <c r="R4" s="20">
        <v>0</v>
      </c>
      <c r="S4" s="20">
        <v>-1</v>
      </c>
      <c r="T4" s="20">
        <v>0</v>
      </c>
      <c r="U4" s="20">
        <v>-1</v>
      </c>
      <c r="V4" s="20">
        <v>0</v>
      </c>
      <c r="W4" s="20">
        <v>-1</v>
      </c>
      <c r="X4" s="20">
        <v>0</v>
      </c>
      <c r="Y4" s="20">
        <v>-1</v>
      </c>
      <c r="Z4" s="20">
        <v>0</v>
      </c>
      <c r="AA4" s="20">
        <v>-1</v>
      </c>
      <c r="AB4" s="20">
        <v>0</v>
      </c>
      <c r="AC4" s="20">
        <v>-1</v>
      </c>
      <c r="AD4" s="20">
        <v>0</v>
      </c>
      <c r="AE4" s="20">
        <v>-1</v>
      </c>
      <c r="AF4" s="20">
        <v>0</v>
      </c>
      <c r="AG4" s="20">
        <v>-1</v>
      </c>
      <c r="AH4" s="20">
        <v>0</v>
      </c>
      <c r="AI4" s="20">
        <v>-1</v>
      </c>
      <c r="AJ4" s="20">
        <v>0</v>
      </c>
      <c r="AK4" s="20">
        <v>-1</v>
      </c>
      <c r="AL4" s="20">
        <v>0</v>
      </c>
      <c r="AM4" s="20">
        <f>IF('CALCOLO ROTTA 1'!$B$66=1,0,1)</f>
        <v>1</v>
      </c>
      <c r="AN4" s="20">
        <f>'DATI CAMERA E ROTTA'!$B$36</f>
        <v>5</v>
      </c>
      <c r="AO4" s="20">
        <v>0</v>
      </c>
      <c r="AP4" s="20">
        <v>0</v>
      </c>
      <c r="AQ4" s="20">
        <v>0</v>
      </c>
      <c r="AR4" s="20">
        <v>0</v>
      </c>
      <c r="AS4" s="20">
        <f>IF(A5="",-1,'DATI CAMERA E ROTTA'!$B$33)</f>
        <v>2</v>
      </c>
      <c r="AT4" s="20">
        <v>-1</v>
      </c>
    </row>
    <row r="5" spans="1:46">
      <c r="A5" s="14">
        <f>ROTTE!I32</f>
        <v>45.862129482878174</v>
      </c>
      <c r="B5" s="14">
        <f>ROTTE!J32</f>
        <v>10.77364194100258</v>
      </c>
      <c r="C5" s="15">
        <f>'DATI CAMERA E ROTTA'!$B$14</f>
        <v>60</v>
      </c>
      <c r="D5" s="20">
        <v>0</v>
      </c>
      <c r="E5" s="20">
        <v>0.2</v>
      </c>
      <c r="F5" s="20">
        <v>0</v>
      </c>
      <c r="G5" s="20">
        <v>0</v>
      </c>
      <c r="H5" s="20">
        <v>0</v>
      </c>
      <c r="I5" s="20">
        <f>IF('CALCOLO ROTTA 1'!$B$67=1,1,-1)</f>
        <v>1</v>
      </c>
      <c r="J5" s="20">
        <v>0</v>
      </c>
      <c r="K5" s="20">
        <f t="shared" ref="K5:K6" si="0">IF(A6="",5,-1)</f>
        <v>-1</v>
      </c>
      <c r="L5" s="20">
        <v>0</v>
      </c>
      <c r="M5" s="20">
        <v>-1</v>
      </c>
      <c r="N5" s="20">
        <v>0</v>
      </c>
      <c r="O5" s="20">
        <v>-1</v>
      </c>
      <c r="P5" s="20">
        <v>0</v>
      </c>
      <c r="Q5" s="20">
        <v>-1</v>
      </c>
      <c r="R5" s="20">
        <v>0</v>
      </c>
      <c r="S5" s="20">
        <v>-1</v>
      </c>
      <c r="T5" s="20">
        <v>0</v>
      </c>
      <c r="U5" s="20">
        <v>-1</v>
      </c>
      <c r="V5" s="20">
        <v>0</v>
      </c>
      <c r="W5" s="20">
        <v>-1</v>
      </c>
      <c r="X5" s="20">
        <v>0</v>
      </c>
      <c r="Y5" s="20">
        <v>-1</v>
      </c>
      <c r="Z5" s="20">
        <v>0</v>
      </c>
      <c r="AA5" s="20">
        <v>-1</v>
      </c>
      <c r="AB5" s="20">
        <v>0</v>
      </c>
      <c r="AC5" s="20">
        <v>-1</v>
      </c>
      <c r="AD5" s="20">
        <v>0</v>
      </c>
      <c r="AE5" s="20">
        <v>-1</v>
      </c>
      <c r="AF5" s="20">
        <v>0</v>
      </c>
      <c r="AG5" s="20">
        <v>-1</v>
      </c>
      <c r="AH5" s="20">
        <v>0</v>
      </c>
      <c r="AI5" s="20">
        <v>-1</v>
      </c>
      <c r="AJ5" s="20">
        <v>0</v>
      </c>
      <c r="AK5" s="20">
        <v>-1</v>
      </c>
      <c r="AL5" s="20">
        <v>0</v>
      </c>
      <c r="AM5" s="20">
        <f>IF('CALCOLO ROTTA 1'!$B$66=1,0,1)</f>
        <v>1</v>
      </c>
      <c r="AN5" s="20">
        <f>'DATI CAMERA E ROTTA'!$B$36</f>
        <v>5</v>
      </c>
      <c r="AO5" s="20">
        <v>0</v>
      </c>
      <c r="AP5" s="20">
        <v>0</v>
      </c>
      <c r="AQ5" s="20">
        <v>0</v>
      </c>
      <c r="AR5" s="20">
        <v>0</v>
      </c>
      <c r="AS5" s="20">
        <f>IF(A6="",-1,'DATI CAMERA E ROTTA'!$B$33)</f>
        <v>2</v>
      </c>
      <c r="AT5" s="20">
        <v>-1</v>
      </c>
    </row>
    <row r="6" spans="1:46">
      <c r="A6" s="14">
        <f>ROTTE!I33</f>
        <v>45.864102370881902</v>
      </c>
      <c r="B6" s="14">
        <f>ROTTE!J33</f>
        <v>10.76855092821806</v>
      </c>
      <c r="C6" s="15">
        <f>'DATI CAMERA E ROTTA'!$B$14</f>
        <v>60</v>
      </c>
      <c r="D6" s="20">
        <v>0</v>
      </c>
      <c r="E6" s="20">
        <v>0.2</v>
      </c>
      <c r="F6" s="20">
        <v>0</v>
      </c>
      <c r="G6" s="20">
        <v>0</v>
      </c>
      <c r="H6" s="20">
        <v>0</v>
      </c>
      <c r="I6" s="20">
        <f>IF('CALCOLO ROTTA 1'!$B$67=1,1,-1)</f>
        <v>1</v>
      </c>
      <c r="J6" s="20">
        <v>0</v>
      </c>
      <c r="K6" s="20">
        <f t="shared" si="0"/>
        <v>5</v>
      </c>
      <c r="L6" s="20">
        <v>0</v>
      </c>
      <c r="M6" s="20">
        <v>-1</v>
      </c>
      <c r="N6" s="20">
        <v>0</v>
      </c>
      <c r="O6" s="20">
        <v>-1</v>
      </c>
      <c r="P6" s="20">
        <v>0</v>
      </c>
      <c r="Q6" s="20">
        <v>-1</v>
      </c>
      <c r="R6" s="20">
        <v>0</v>
      </c>
      <c r="S6" s="20">
        <v>-1</v>
      </c>
      <c r="T6" s="20">
        <v>0</v>
      </c>
      <c r="U6" s="20">
        <v>-1</v>
      </c>
      <c r="V6" s="20">
        <v>0</v>
      </c>
      <c r="W6" s="20">
        <v>-1</v>
      </c>
      <c r="X6" s="20">
        <v>0</v>
      </c>
      <c r="Y6" s="20">
        <v>-1</v>
      </c>
      <c r="Z6" s="20">
        <v>0</v>
      </c>
      <c r="AA6" s="20">
        <v>-1</v>
      </c>
      <c r="AB6" s="20">
        <v>0</v>
      </c>
      <c r="AC6" s="20">
        <v>-1</v>
      </c>
      <c r="AD6" s="20">
        <v>0</v>
      </c>
      <c r="AE6" s="20">
        <v>-1</v>
      </c>
      <c r="AF6" s="20">
        <v>0</v>
      </c>
      <c r="AG6" s="20">
        <v>-1</v>
      </c>
      <c r="AH6" s="20">
        <v>0</v>
      </c>
      <c r="AI6" s="20">
        <v>-1</v>
      </c>
      <c r="AJ6" s="20">
        <v>0</v>
      </c>
      <c r="AK6" s="20">
        <v>-1</v>
      </c>
      <c r="AL6" s="20">
        <v>0</v>
      </c>
      <c r="AM6" s="20">
        <f>IF('CALCOLO ROTTA 1'!$B$66=1,0,1)</f>
        <v>1</v>
      </c>
      <c r="AN6" s="20">
        <f>'DATI CAMERA E ROTTA'!$B$36</f>
        <v>5</v>
      </c>
      <c r="AO6" s="20">
        <v>0</v>
      </c>
      <c r="AP6" s="20">
        <v>0</v>
      </c>
      <c r="AQ6" s="20">
        <v>0</v>
      </c>
      <c r="AR6" s="20">
        <v>0</v>
      </c>
      <c r="AS6" s="20">
        <f>IF(A7="",-1,'DATI CAMERA E ROTTA'!$B$33)</f>
        <v>-1</v>
      </c>
      <c r="AT6" s="20">
        <v>-1</v>
      </c>
    </row>
    <row r="7" spans="1:46">
      <c r="A7" s="14"/>
      <c r="B7" s="14"/>
      <c r="C7" s="15"/>
    </row>
    <row r="8" spans="1:46">
      <c r="A8" s="14"/>
      <c r="B8" s="14"/>
      <c r="C8" s="15"/>
    </row>
    <row r="9" spans="1:46">
      <c r="A9" s="14"/>
      <c r="B9" s="14"/>
      <c r="C9" s="15"/>
    </row>
    <row r="10" spans="1:46">
      <c r="A10" s="14"/>
      <c r="B10" s="14"/>
      <c r="C10" s="15"/>
    </row>
    <row r="11" spans="1:46">
      <c r="A11" s="14"/>
      <c r="B11" s="14"/>
      <c r="C11" s="15"/>
    </row>
    <row r="12" spans="1:46">
      <c r="A12" s="14"/>
      <c r="B12" s="14"/>
      <c r="C12" s="15"/>
    </row>
    <row r="13" spans="1:46">
      <c r="A13" s="14"/>
      <c r="B13" s="14"/>
      <c r="C13" s="15"/>
    </row>
    <row r="14" spans="1:46">
      <c r="A14" s="14"/>
      <c r="B14" s="14"/>
      <c r="C14" s="15"/>
    </row>
    <row r="15" spans="1:46">
      <c r="A15" s="14"/>
      <c r="B15" s="14"/>
      <c r="C15" s="15"/>
    </row>
    <row r="16" spans="1:46">
      <c r="A16" s="14"/>
      <c r="B16" s="14"/>
      <c r="C16" s="15"/>
    </row>
    <row r="17" spans="1:3">
      <c r="A17" s="14"/>
      <c r="B17" s="14"/>
      <c r="C17" s="15"/>
    </row>
    <row r="18" spans="1:3">
      <c r="A18" s="14"/>
      <c r="B18" s="14"/>
      <c r="C18" s="15"/>
    </row>
    <row r="19" spans="1:3">
      <c r="A19" s="14"/>
      <c r="B19" s="14"/>
      <c r="C19" s="15"/>
    </row>
    <row r="20" spans="1:3">
      <c r="A20" s="14"/>
      <c r="B20" s="14"/>
      <c r="C20" s="15"/>
    </row>
    <row r="21" spans="1:3">
      <c r="A21" s="14"/>
      <c r="B21" s="14"/>
      <c r="C21" s="15"/>
    </row>
    <row r="22" spans="1:3">
      <c r="A22" s="14"/>
      <c r="B22" s="14"/>
      <c r="C22" s="15"/>
    </row>
    <row r="23" spans="1:3">
      <c r="A23" s="14"/>
      <c r="B23" s="14"/>
      <c r="C23" s="15"/>
    </row>
    <row r="24" spans="1:3">
      <c r="A24" s="14"/>
      <c r="B24" s="14"/>
      <c r="C24" s="15"/>
    </row>
    <row r="25" spans="1:3">
      <c r="A25" s="14"/>
      <c r="B25" s="14"/>
      <c r="C25" s="15"/>
    </row>
    <row r="26" spans="1:3">
      <c r="A26" s="14"/>
      <c r="B26" s="14"/>
      <c r="C26" s="15"/>
    </row>
    <row r="27" spans="1:3">
      <c r="A27" s="14"/>
      <c r="B27" s="14"/>
      <c r="C27" s="15"/>
    </row>
    <row r="28" spans="1:3">
      <c r="A28" s="14"/>
      <c r="B28" s="14"/>
      <c r="C28" s="15"/>
    </row>
    <row r="29" spans="1:3">
      <c r="A29" s="14"/>
      <c r="B29" s="14"/>
      <c r="C29" s="15"/>
    </row>
    <row r="30" spans="1:3">
      <c r="A30" s="14"/>
      <c r="B30" s="14"/>
      <c r="C30" s="15"/>
    </row>
    <row r="31" spans="1:3">
      <c r="A31" s="14"/>
      <c r="B31" s="14"/>
      <c r="C31" s="15"/>
    </row>
    <row r="32" spans="1:3">
      <c r="A32" s="14"/>
      <c r="B32" s="14"/>
      <c r="C32" s="15"/>
    </row>
    <row r="33" spans="1:3">
      <c r="A33" s="14"/>
      <c r="B33" s="14"/>
      <c r="C33" s="15"/>
    </row>
    <row r="34" spans="1:3">
      <c r="A34" s="14"/>
      <c r="B34" s="14"/>
      <c r="C34" s="15"/>
    </row>
    <row r="35" spans="1:3">
      <c r="A35" s="14"/>
      <c r="B35" s="14"/>
      <c r="C35" s="15"/>
    </row>
    <row r="36" spans="1:3">
      <c r="A36" s="14"/>
      <c r="B36" s="14"/>
      <c r="C36" s="15"/>
    </row>
    <row r="37" spans="1:3">
      <c r="A37" s="14"/>
      <c r="B37" s="14"/>
      <c r="C37" s="15"/>
    </row>
    <row r="38" spans="1:3">
      <c r="A38" s="14"/>
      <c r="B38" s="14"/>
      <c r="C38" s="15"/>
    </row>
    <row r="39" spans="1:3">
      <c r="A39" s="14"/>
      <c r="B39" s="14"/>
      <c r="C39" s="15"/>
    </row>
    <row r="40" spans="1:3">
      <c r="A40" s="14"/>
      <c r="B40" s="14"/>
      <c r="C40" s="15"/>
    </row>
    <row r="41" spans="1:3">
      <c r="A41" s="14"/>
      <c r="B41" s="14"/>
      <c r="C41" s="15"/>
    </row>
    <row r="42" spans="1:3">
      <c r="A42" s="14"/>
      <c r="B42" s="14"/>
      <c r="C42" s="15"/>
    </row>
    <row r="43" spans="1:3">
      <c r="A43" s="14"/>
      <c r="B43" s="14"/>
      <c r="C43" s="15"/>
    </row>
    <row r="44" spans="1:3">
      <c r="A44" s="14"/>
      <c r="B44" s="14"/>
      <c r="C44" s="15"/>
    </row>
    <row r="45" spans="1:3">
      <c r="A45" s="14"/>
      <c r="B45" s="14"/>
      <c r="C45" s="15"/>
    </row>
    <row r="46" spans="1:3">
      <c r="A46" s="14"/>
      <c r="B46" s="14"/>
      <c r="C46" s="15"/>
    </row>
    <row r="47" spans="1:3">
      <c r="A47" s="14"/>
      <c r="B47" s="14"/>
      <c r="C47" s="15"/>
    </row>
    <row r="48" spans="1:3">
      <c r="A48" s="14"/>
      <c r="B48" s="14"/>
      <c r="C48" s="15"/>
    </row>
    <row r="49" spans="1:3">
      <c r="A49" s="14"/>
      <c r="B49" s="14"/>
      <c r="C49" s="15"/>
    </row>
    <row r="50" spans="1:3">
      <c r="A50" s="14"/>
      <c r="B50" s="14"/>
      <c r="C50" s="15"/>
    </row>
    <row r="51" spans="1:3">
      <c r="A51" s="14"/>
      <c r="B51" s="14"/>
      <c r="C51" s="15"/>
    </row>
    <row r="52" spans="1:3">
      <c r="A52" s="14"/>
      <c r="B52" s="14"/>
      <c r="C52" s="15"/>
    </row>
    <row r="53" spans="1:3">
      <c r="A53" s="14"/>
      <c r="B53" s="14"/>
      <c r="C53" s="15"/>
    </row>
    <row r="54" spans="1:3">
      <c r="A54" s="14"/>
      <c r="B54" s="14"/>
      <c r="C54" s="15"/>
    </row>
    <row r="55" spans="1:3">
      <c r="A55" s="14"/>
      <c r="B55" s="14"/>
      <c r="C55" s="15"/>
    </row>
    <row r="56" spans="1:3">
      <c r="A56" s="14"/>
      <c r="B56" s="14"/>
      <c r="C56" s="15"/>
    </row>
    <row r="57" spans="1:3">
      <c r="A57" s="14"/>
      <c r="B57" s="14"/>
      <c r="C57" s="15"/>
    </row>
    <row r="58" spans="1:3">
      <c r="A58" s="14"/>
      <c r="B58" s="14"/>
      <c r="C58" s="15"/>
    </row>
    <row r="59" spans="1:3">
      <c r="A59" s="14"/>
      <c r="B59" s="14"/>
      <c r="C59" s="15"/>
    </row>
    <row r="60" spans="1:3">
      <c r="A60" s="14"/>
      <c r="B60" s="14"/>
      <c r="C60" s="15"/>
    </row>
    <row r="61" spans="1:3">
      <c r="A61" s="14"/>
      <c r="B61" s="14"/>
      <c r="C61" s="15"/>
    </row>
    <row r="62" spans="1:3">
      <c r="A62" s="14"/>
      <c r="B62" s="14"/>
      <c r="C62" s="15"/>
    </row>
    <row r="63" spans="1:3">
      <c r="A63" s="14"/>
      <c r="B63" s="14"/>
      <c r="C63" s="15"/>
    </row>
    <row r="64" spans="1:3">
      <c r="A64" s="14"/>
      <c r="B64" s="14"/>
      <c r="C64" s="15"/>
    </row>
    <row r="65" spans="1:3">
      <c r="A65" s="14"/>
      <c r="B65" s="14"/>
      <c r="C65" s="15"/>
    </row>
    <row r="66" spans="1:3">
      <c r="A66" s="14"/>
      <c r="B66" s="14"/>
      <c r="C66" s="15"/>
    </row>
    <row r="67" spans="1:3">
      <c r="A67" s="14"/>
      <c r="B67" s="14"/>
      <c r="C67" s="15"/>
    </row>
    <row r="68" spans="1:3">
      <c r="A68" s="14"/>
      <c r="B68" s="14"/>
      <c r="C68" s="15"/>
    </row>
    <row r="69" spans="1:3">
      <c r="A69" s="14"/>
      <c r="B69" s="14"/>
      <c r="C69" s="15"/>
    </row>
    <row r="70" spans="1:3">
      <c r="A70" s="14"/>
      <c r="B70" s="14"/>
      <c r="C70" s="15"/>
    </row>
    <row r="71" spans="1:3">
      <c r="A71" s="14"/>
      <c r="B71" s="14"/>
      <c r="C71" s="15"/>
    </row>
    <row r="72" spans="1:3">
      <c r="A72" s="14"/>
      <c r="B72" s="14"/>
      <c r="C72" s="15"/>
    </row>
    <row r="73" spans="1:3">
      <c r="A73" s="14"/>
      <c r="B73" s="14"/>
      <c r="C73" s="15"/>
    </row>
    <row r="74" spans="1:3">
      <c r="A74" s="14"/>
      <c r="B74" s="14"/>
      <c r="C74" s="15"/>
    </row>
    <row r="75" spans="1:3">
      <c r="A75" s="14"/>
      <c r="B75" s="14"/>
      <c r="C75" s="15"/>
    </row>
    <row r="76" spans="1:3">
      <c r="A76" s="14"/>
      <c r="B76" s="14"/>
      <c r="C76" s="15"/>
    </row>
    <row r="77" spans="1:3">
      <c r="A77" s="14"/>
      <c r="B77" s="14"/>
      <c r="C77" s="15"/>
    </row>
    <row r="78" spans="1:3">
      <c r="A78" s="14"/>
      <c r="B78" s="14"/>
      <c r="C78" s="15"/>
    </row>
    <row r="79" spans="1:3">
      <c r="A79" s="14"/>
      <c r="B79" s="14"/>
      <c r="C79" s="15"/>
    </row>
    <row r="80" spans="1:3">
      <c r="A80" s="14"/>
      <c r="B80" s="14"/>
      <c r="C80" s="15"/>
    </row>
    <row r="81" spans="1:3">
      <c r="A81" s="14"/>
      <c r="B81" s="14"/>
      <c r="C81" s="15"/>
    </row>
    <row r="82" spans="1:3">
      <c r="A82" s="14"/>
      <c r="B82" s="14"/>
      <c r="C82" s="15"/>
    </row>
    <row r="83" spans="1:3">
      <c r="A83" s="14"/>
      <c r="B83" s="14"/>
      <c r="C83" s="15"/>
    </row>
    <row r="84" spans="1:3">
      <c r="A84" s="14"/>
      <c r="B84" s="14"/>
      <c r="C84" s="15"/>
    </row>
    <row r="85" spans="1:3">
      <c r="A85" s="14"/>
      <c r="B85" s="14"/>
      <c r="C85" s="15"/>
    </row>
    <row r="86" spans="1:3">
      <c r="A86" s="14"/>
      <c r="B86" s="14"/>
      <c r="C86" s="15"/>
    </row>
    <row r="87" spans="1:3">
      <c r="A87" s="14"/>
      <c r="B87" s="14"/>
      <c r="C87" s="15"/>
    </row>
    <row r="88" spans="1:3">
      <c r="A88" s="14"/>
      <c r="B88" s="14"/>
      <c r="C88" s="15"/>
    </row>
    <row r="89" spans="1:3">
      <c r="A89" s="14"/>
      <c r="B89" s="14"/>
      <c r="C89" s="15"/>
    </row>
    <row r="90" spans="1:3">
      <c r="A90" s="14"/>
      <c r="B90" s="14"/>
      <c r="C90" s="15"/>
    </row>
    <row r="91" spans="1:3">
      <c r="A91" s="14"/>
      <c r="B91" s="14"/>
      <c r="C91" s="15"/>
    </row>
    <row r="92" spans="1:3">
      <c r="A92" s="14"/>
      <c r="B92" s="14"/>
      <c r="C92" s="15"/>
    </row>
    <row r="93" spans="1:3">
      <c r="A93" s="14"/>
      <c r="B93" s="14"/>
      <c r="C93" s="15"/>
    </row>
    <row r="94" spans="1:3">
      <c r="A94" s="14"/>
      <c r="B94" s="14"/>
      <c r="C94" s="15"/>
    </row>
    <row r="95" spans="1:3">
      <c r="A95" s="14"/>
      <c r="B95" s="14"/>
      <c r="C95" s="15"/>
    </row>
    <row r="96" spans="1:3">
      <c r="A96" s="14"/>
      <c r="B96" s="14"/>
      <c r="C96" s="15"/>
    </row>
    <row r="97" spans="1:3">
      <c r="A97" s="14"/>
      <c r="B97" s="14"/>
      <c r="C97" s="15"/>
    </row>
    <row r="98" spans="1:3">
      <c r="A98" s="14"/>
      <c r="B98" s="14"/>
      <c r="C98" s="15"/>
    </row>
    <row r="99" spans="1:3">
      <c r="A99" s="14"/>
      <c r="B99" s="14"/>
      <c r="C99" s="15"/>
    </row>
    <row r="100" spans="1:3">
      <c r="A100" s="14"/>
      <c r="B100" s="14"/>
      <c r="C100" s="15"/>
    </row>
  </sheetData>
  <sheetProtection algorithmName="SHA-512" hashValue="LMOzGrTXMle5veHzsMCmIkP50+/10IzyUfJ9hqp+fIfPszRuiHiLFLJerYfa5b8ZV/IEEPrt+4UeJEM8uzIv9Q==" saltValue="Fdl3RwyIwe1LAik+ndr+zA==" spinCount="100000" sheet="1" objects="1" scenarios="1" selectLockedCells="1" selectUnlockedCell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5"/>
  <dimension ref="B2:F27"/>
  <sheetViews>
    <sheetView showGridLines="0" workbookViewId="0">
      <selection activeCell="M19" sqref="M19"/>
    </sheetView>
  </sheetViews>
  <sheetFormatPr defaultColWidth="9.140625" defaultRowHeight="15"/>
  <cols>
    <col min="1" max="1" width="3" style="31" customWidth="1"/>
    <col min="2" max="2" width="29.42578125" style="31" bestFit="1" customWidth="1"/>
    <col min="3" max="16384" width="9.140625" style="31"/>
  </cols>
  <sheetData>
    <row r="2" spans="2:3" s="33" customFormat="1" ht="17.25">
      <c r="B2" s="32" t="s">
        <v>162</v>
      </c>
    </row>
    <row r="3" spans="2:3" s="33" customFormat="1" ht="17.25">
      <c r="B3" s="32" t="s">
        <v>163</v>
      </c>
    </row>
    <row r="4" spans="2:3" s="33" customFormat="1" ht="17.25">
      <c r="B4" s="34" t="str">
        <f>HYPERLINK("https://www.giampaoloberetta.it","www.giampaoloberetta.it")</f>
        <v>www.giampaoloberetta.it</v>
      </c>
      <c r="C4" s="34"/>
    </row>
    <row r="5" spans="2:3" s="36" customFormat="1">
      <c r="B5" s="35"/>
      <c r="C5" s="35"/>
    </row>
    <row r="6" spans="2:3" s="36" customFormat="1" ht="17.25">
      <c r="B6" s="37"/>
    </row>
    <row r="23" spans="2:6" ht="18.75">
      <c r="E23" s="112" t="s">
        <v>178</v>
      </c>
      <c r="F23" s="112"/>
    </row>
    <row r="26" spans="2:6">
      <c r="B26" s="31" t="s">
        <v>317</v>
      </c>
    </row>
    <row r="27" spans="2:6">
      <c r="B27" s="31" t="s">
        <v>318</v>
      </c>
    </row>
  </sheetData>
  <sheetProtection algorithmName="SHA-512" hashValue="PP+pZ5MriBdQo8bKiJxtoQSnPu78gHDqcOoqWmP2DT2xqi7/IVX+YYE+ZZmcSAdSNILIJpdu25LO2q9ryJHm3g==" saltValue="DlH+0EfqgnBo3kxe3WtiGQ==" spinCount="100000" sheet="1" objects="1" scenarios="1"/>
  <mergeCells count="1">
    <mergeCell ref="E23:F2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AREA DI RILIEVO</vt:lpstr>
      <vt:lpstr>DATI CAMERA E ROTTA</vt:lpstr>
      <vt:lpstr>ROTTA</vt:lpstr>
      <vt:lpstr>RIFERIMENTI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Giampaolo</dc:creator>
  <cp:lastModifiedBy>GIAMPAOLO BERETTA</cp:lastModifiedBy>
  <cp:lastPrinted>2020-04-06T19:25:42Z</cp:lastPrinted>
  <dcterms:created xsi:type="dcterms:W3CDTF">2020-03-01T12:01:42Z</dcterms:created>
  <dcterms:modified xsi:type="dcterms:W3CDTF">2023-11-13T17:18:34Z</dcterms:modified>
</cp:coreProperties>
</file>